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6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xl/charts/colors5.xml" ContentType="application/vnd.ms-office.chartcolorstyle+xml"/>
  <Override PartName="/xl/worksheets/sheet1.xml" ContentType="application/vnd.openxmlformats-officedocument.spreadsheetml.worksheet+xml"/>
  <Override PartName="/xl/charts/chart5.xml" ContentType="application/vnd.openxmlformats-officedocument.drawingml.chart+xml"/>
  <Override PartName="/xl/charts/style5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3.xml" ContentType="application/vnd.openxmlformats-officedocument.drawingml.chart+xml"/>
  <Override PartName="/xl/charts/colors4.xml" ContentType="application/vnd.ms-office.chartcolorstyle+xml"/>
  <Override PartName="/xl/charts/style4.xml" ContentType="application/vnd.ms-office.chartstyle+xml"/>
  <Override PartName="/xl/charts/style3.xml" ContentType="application/vnd.ms-office.chartstyle+xml"/>
  <Override PartName="/xl/charts/chart4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olors3.xml" ContentType="application/vnd.ms-office.chartcolorstyl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rf-ryhma\OKM Opetus ja kulttuuriministeriö\Uimahalliportaali\Uimahallisivusto (kevät 2016)\"/>
    </mc:Choice>
  </mc:AlternateContent>
  <bookViews>
    <workbookView xWindow="0" yWindow="0" windowWidth="25200" windowHeight="11985"/>
  </bookViews>
  <sheets>
    <sheet name="Kaukolämmön kk.kulutus" sheetId="1" r:id="rId1"/>
    <sheet name="Sähkön kk.kulutus" sheetId="3" r:id="rId2"/>
    <sheet name="Veden kk.kulutus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3" l="1"/>
  <c r="J6" i="3"/>
  <c r="J7" i="3"/>
  <c r="J8" i="3"/>
  <c r="J9" i="3"/>
  <c r="J10" i="3"/>
  <c r="J11" i="3"/>
  <c r="J12" i="3"/>
  <c r="J13" i="3"/>
  <c r="J14" i="3"/>
  <c r="J15" i="3"/>
  <c r="J4" i="3"/>
  <c r="J5" i="1"/>
  <c r="J6" i="1"/>
  <c r="J7" i="1"/>
  <c r="J8" i="1"/>
  <c r="J9" i="1"/>
  <c r="J10" i="1"/>
  <c r="J11" i="1"/>
  <c r="J12" i="1"/>
  <c r="J13" i="1"/>
  <c r="J14" i="1"/>
  <c r="J15" i="1"/>
  <c r="J4" i="1"/>
  <c r="M23" i="1" l="1"/>
  <c r="M20" i="3"/>
  <c r="L20" i="4"/>
  <c r="B16" i="4" l="1"/>
  <c r="M18" i="4" s="1"/>
  <c r="E15" i="4" l="1"/>
  <c r="D15" i="4"/>
  <c r="G15" i="4" s="1"/>
  <c r="C15" i="4"/>
  <c r="E14" i="4"/>
  <c r="D14" i="4"/>
  <c r="G14" i="4" s="1"/>
  <c r="C14" i="4"/>
  <c r="E13" i="4"/>
  <c r="D13" i="4"/>
  <c r="G13" i="4" s="1"/>
  <c r="C13" i="4"/>
  <c r="E12" i="4"/>
  <c r="D12" i="4"/>
  <c r="G12" i="4" s="1"/>
  <c r="C12" i="4"/>
  <c r="E11" i="4"/>
  <c r="D11" i="4"/>
  <c r="G11" i="4" s="1"/>
  <c r="C11" i="4"/>
  <c r="E10" i="4"/>
  <c r="D10" i="4"/>
  <c r="G10" i="4" s="1"/>
  <c r="C10" i="4"/>
  <c r="E9" i="4"/>
  <c r="D9" i="4"/>
  <c r="G9" i="4" s="1"/>
  <c r="C9" i="4"/>
  <c r="E8" i="4"/>
  <c r="D8" i="4"/>
  <c r="G8" i="4" s="1"/>
  <c r="C8" i="4"/>
  <c r="E7" i="4"/>
  <c r="D7" i="4"/>
  <c r="G7" i="4" s="1"/>
  <c r="C7" i="4"/>
  <c r="E6" i="4"/>
  <c r="D6" i="4"/>
  <c r="G6" i="4" s="1"/>
  <c r="C6" i="4"/>
  <c r="E5" i="4"/>
  <c r="D5" i="4"/>
  <c r="G5" i="4" s="1"/>
  <c r="C5" i="4"/>
  <c r="E4" i="4"/>
  <c r="D4" i="4"/>
  <c r="G4" i="4" s="1"/>
  <c r="C4" i="4"/>
  <c r="H5" i="3"/>
  <c r="H6" i="3"/>
  <c r="H7" i="3"/>
  <c r="H8" i="3"/>
  <c r="H9" i="3"/>
  <c r="H10" i="3"/>
  <c r="H11" i="3"/>
  <c r="H12" i="3"/>
  <c r="H13" i="3"/>
  <c r="H14" i="3"/>
  <c r="H15" i="3"/>
  <c r="H4" i="3"/>
  <c r="G5" i="3"/>
  <c r="G6" i="3"/>
  <c r="G7" i="3"/>
  <c r="G8" i="3"/>
  <c r="G9" i="3"/>
  <c r="G10" i="3"/>
  <c r="G11" i="3"/>
  <c r="G12" i="3"/>
  <c r="G13" i="3"/>
  <c r="G14" i="3"/>
  <c r="G15" i="3"/>
  <c r="G4" i="3"/>
  <c r="F5" i="3"/>
  <c r="I5" i="3" s="1"/>
  <c r="F6" i="3"/>
  <c r="F7" i="3"/>
  <c r="F8" i="3"/>
  <c r="F9" i="3"/>
  <c r="F10" i="3"/>
  <c r="F11" i="3"/>
  <c r="F12" i="3"/>
  <c r="F13" i="3"/>
  <c r="F14" i="3"/>
  <c r="I14" i="3" s="1"/>
  <c r="F15" i="3"/>
  <c r="F4" i="3"/>
  <c r="I4" i="3" s="1"/>
  <c r="B16" i="3"/>
  <c r="N18" i="3" s="1"/>
  <c r="D15" i="3"/>
  <c r="E15" i="3" s="1"/>
  <c r="D14" i="3"/>
  <c r="E14" i="3" s="1"/>
  <c r="D13" i="3"/>
  <c r="E13" i="3" s="1"/>
  <c r="D12" i="3"/>
  <c r="E12" i="3" s="1"/>
  <c r="E11" i="3"/>
  <c r="D11" i="3"/>
  <c r="E10" i="3"/>
  <c r="D10" i="3"/>
  <c r="D9" i="3"/>
  <c r="E9" i="3" s="1"/>
  <c r="E8" i="3"/>
  <c r="D8" i="3"/>
  <c r="E7" i="3"/>
  <c r="D7" i="3"/>
  <c r="E6" i="3"/>
  <c r="D6" i="3"/>
  <c r="E5" i="3"/>
  <c r="D5" i="3"/>
  <c r="E4" i="3"/>
  <c r="D4" i="3"/>
  <c r="F8" i="4" l="1"/>
  <c r="I13" i="3"/>
  <c r="I9" i="3"/>
  <c r="I15" i="3"/>
  <c r="I11" i="3"/>
  <c r="I7" i="3"/>
  <c r="F7" i="4"/>
  <c r="F9" i="4"/>
  <c r="I10" i="3"/>
  <c r="F15" i="4"/>
  <c r="F6" i="4"/>
  <c r="F10" i="4"/>
  <c r="O6" i="3"/>
  <c r="I6" i="3"/>
  <c r="I12" i="3"/>
  <c r="I8" i="3"/>
  <c r="F11" i="4"/>
  <c r="F13" i="4"/>
  <c r="M8" i="4"/>
  <c r="M9" i="4"/>
  <c r="G16" i="3"/>
  <c r="F12" i="4"/>
  <c r="F4" i="4"/>
  <c r="F5" i="4"/>
  <c r="F14" i="4"/>
  <c r="G16" i="4"/>
  <c r="M19" i="4" s="1"/>
  <c r="L5" i="4"/>
  <c r="L6" i="4"/>
  <c r="D16" i="4"/>
  <c r="O5" i="3"/>
  <c r="P9" i="3"/>
  <c r="P8" i="3"/>
  <c r="O6" i="1"/>
  <c r="O5" i="1"/>
  <c r="O11" i="3" l="1"/>
  <c r="L11" i="4"/>
  <c r="J9" i="4"/>
  <c r="M8" i="3"/>
  <c r="I5" i="4"/>
  <c r="L6" i="3"/>
  <c r="L5" i="3"/>
  <c r="M9" i="3"/>
  <c r="I6" i="4"/>
  <c r="J8" i="4"/>
  <c r="M6" i="4"/>
  <c r="M5" i="4"/>
  <c r="J16" i="3"/>
  <c r="N19" i="3" s="1"/>
  <c r="P6" i="3"/>
  <c r="P5" i="3"/>
  <c r="L11" i="3" l="1"/>
  <c r="I11" i="4"/>
  <c r="M6" i="3"/>
  <c r="M5" i="3"/>
  <c r="J5" i="4"/>
  <c r="J6" i="4"/>
  <c r="G16" i="1"/>
  <c r="B16" i="1" l="1"/>
  <c r="N18" i="1" s="1"/>
  <c r="I5" i="1" l="1"/>
  <c r="I6" i="1"/>
  <c r="I7" i="1"/>
  <c r="I8" i="1"/>
  <c r="I9" i="1"/>
  <c r="I10" i="1"/>
  <c r="I11" i="1"/>
  <c r="I12" i="1"/>
  <c r="I13" i="1"/>
  <c r="I14" i="1"/>
  <c r="I15" i="1"/>
  <c r="I4" i="1"/>
  <c r="L6" i="1" l="1"/>
  <c r="L5" i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4" i="1"/>
  <c r="E4" i="1" s="1"/>
  <c r="P9" i="1" s="1"/>
  <c r="M8" i="1" l="1"/>
  <c r="M9" i="1"/>
  <c r="N21" i="1" s="1"/>
  <c r="J16" i="1"/>
  <c r="N19" i="1" s="1"/>
  <c r="P8" i="1"/>
  <c r="O11" i="1" s="1"/>
  <c r="L11" i="1" l="1"/>
  <c r="N20" i="1" s="1"/>
  <c r="N22" i="1"/>
  <c r="M6" i="1"/>
  <c r="M5" i="1"/>
  <c r="P6" i="1"/>
  <c r="P5" i="1"/>
</calcChain>
</file>

<file path=xl/sharedStrings.xml><?xml version="1.0" encoding="utf-8"?>
<sst xmlns="http://schemas.openxmlformats.org/spreadsheetml/2006/main" count="142" uniqueCount="59">
  <si>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</si>
  <si>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</si>
  <si>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</si>
  <si>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</si>
  <si>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</si>
  <si>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</si>
  <si>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</si>
  <si>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</si>
  <si>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</si>
  <si>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</si>
  <si>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</si>
  <si>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</si>
  <si>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Kaukolämmön kulutus [MWh]</t>
  </si>
  <si>
    <t>Tunteja kuukaudessa</t>
  </si>
  <si>
    <t>Päiviä kuukaudessa</t>
  </si>
  <si>
    <t>Kaukolämmön kulutuksen keskiteho [kW]</t>
  </si>
  <si>
    <t>Kuukauden ulkolämpötilan keskiarvo [°C]</t>
  </si>
  <si>
    <t>Sisälämpötilan asetusarvo [°C]</t>
  </si>
  <si>
    <t>Sisä- ja ulkolämpötilan välinen ero [°C]</t>
  </si>
  <si>
    <t>Yhteensä</t>
  </si>
  <si>
    <t>MWh/vuosi</t>
  </si>
  <si>
    <t>Sähkön kulutus [MWh]</t>
  </si>
  <si>
    <t>Sähkön kulutuksen keskiteho [kW]</t>
  </si>
  <si>
    <t>Kuukauden kävijämäärä</t>
  </si>
  <si>
    <t>kävijöitä yhteensä vuodessa</t>
  </si>
  <si>
    <t>Veden kulutus [m3]</t>
  </si>
  <si>
    <t>Keskiarvo vuodessa</t>
  </si>
  <si>
    <t>Muista kerätä tiedot koontilomakkeelle ja ilmoittaa myös uimahalliportaaliin!</t>
  </si>
  <si>
    <t>Y=kX+b</t>
  </si>
  <si>
    <t>Kulutuksen suhde kävijämääriin</t>
  </si>
  <si>
    <t>k=</t>
  </si>
  <si>
    <t>b=</t>
  </si>
  <si>
    <t>Laskenta tapahtuu automaattisesti. Keskiarvosuora piirtyy kuvaajaan vasta kun koko vuoden tiedot on syötetty.</t>
  </si>
  <si>
    <t>Lämpötilaeron ja kulutuksen välinen suhde</t>
  </si>
  <si>
    <t>Laskentaparametrit kuvaajaan</t>
  </si>
  <si>
    <t>Suoran yhtälön kertoimet</t>
  </si>
  <si>
    <t>Suoran yhtälö</t>
  </si>
  <si>
    <r>
      <t>Ohje: Täytä</t>
    </r>
    <r>
      <rPr>
        <b/>
        <sz val="18"/>
        <color theme="7"/>
        <rFont val="Calibri"/>
        <family val="2"/>
        <scheme val="minor"/>
      </rPr>
      <t xml:space="preserve"> </t>
    </r>
    <r>
      <rPr>
        <b/>
        <u/>
        <sz val="18"/>
        <color theme="4" tint="-0.249977111117893"/>
        <rFont val="Calibri"/>
        <family val="2"/>
        <scheme val="minor"/>
      </rPr>
      <t>Veden kulutuksen  tiedot Siniselle pohjalle</t>
    </r>
    <r>
      <rPr>
        <b/>
        <sz val="18"/>
        <color theme="1"/>
        <rFont val="Calibri"/>
        <family val="2"/>
        <scheme val="minor"/>
      </rPr>
      <t xml:space="preserve">. Muut tiedot haetaan kaukolämmön kulutuksen tiedoista tai lasketaan. </t>
    </r>
  </si>
  <si>
    <t>Veden kulutus per kävijä [l/hlö]</t>
  </si>
  <si>
    <t>m3/vuosi</t>
  </si>
  <si>
    <r>
      <t>Ohje: Täytä</t>
    </r>
    <r>
      <rPr>
        <b/>
        <sz val="18"/>
        <color theme="7"/>
        <rFont val="Calibri"/>
        <family val="2"/>
        <scheme val="minor"/>
      </rPr>
      <t xml:space="preserve"> </t>
    </r>
    <r>
      <rPr>
        <b/>
        <u/>
        <sz val="18"/>
        <color theme="7"/>
        <rFont val="Calibri"/>
        <family val="2"/>
        <scheme val="minor"/>
      </rPr>
      <t>Kaukolämmön kulutuksen ja ulkolämpötilan tiedot sekä kävijämäärät oransseille pohjille</t>
    </r>
    <r>
      <rPr>
        <b/>
        <sz val="18"/>
        <color theme="1"/>
        <rFont val="Calibri"/>
        <family val="2"/>
        <scheme val="minor"/>
      </rPr>
      <t xml:space="preserve">. </t>
    </r>
  </si>
  <si>
    <r>
      <t>Ohje: Täytä</t>
    </r>
    <r>
      <rPr>
        <b/>
        <sz val="18"/>
        <color theme="7"/>
        <rFont val="Calibri"/>
        <family val="2"/>
        <scheme val="minor"/>
      </rPr>
      <t xml:space="preserve"> </t>
    </r>
    <r>
      <rPr>
        <b/>
        <u/>
        <sz val="18"/>
        <color rgb="FF00B0F0"/>
        <rFont val="Calibri"/>
        <family val="2"/>
        <scheme val="minor"/>
      </rPr>
      <t>Sähkön kulutuksen tiedot Siniselle pohjalle</t>
    </r>
    <r>
      <rPr>
        <b/>
        <sz val="18"/>
        <color theme="1"/>
        <rFont val="Calibri"/>
        <family val="2"/>
        <scheme val="minor"/>
      </rPr>
      <t xml:space="preserve">. Muut tiedot haetaan kaukolämmön kulutuksen tiedoista tai lasketaan. </t>
    </r>
  </si>
  <si>
    <t>Kaavakkeelle kerättävät tiedot:</t>
  </si>
  <si>
    <t>Kaukolämmön kulutus per käivjä</t>
  </si>
  <si>
    <t>litraa/hlö</t>
  </si>
  <si>
    <t>Kaukolämmön kulutuksen suhde sisä- ja ulkoilman väliseen lämpötilaeroon</t>
  </si>
  <si>
    <t>Kaukolämmön kulutuksen vakio-osa</t>
  </si>
  <si>
    <t>kW</t>
  </si>
  <si>
    <t>Kaukolämmön kulutuksen riippuvuus ulkolämpötilasta</t>
  </si>
  <si>
    <t>Kaukolämmön kulutus vuodessa</t>
  </si>
  <si>
    <t>MWh</t>
  </si>
  <si>
    <t>Sähkön kulutus vuodessa</t>
  </si>
  <si>
    <t>Sähkön kulutus per käivjä</t>
  </si>
  <si>
    <t>Veden kulutus vuodessa</t>
  </si>
  <si>
    <t>m3</t>
  </si>
  <si>
    <t>Veden kulutus per käivjä</t>
  </si>
  <si>
    <t>Kaukolämmön kulutus per kävijä [kWh/hlö]</t>
  </si>
  <si>
    <t>kWh/hlö</t>
  </si>
  <si>
    <t>Sähkön kulutus per kävijä [kWh/hlö]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</si>
</sst>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7"/>
      <name val="Calibri"/>
      <family val="2"/>
      <scheme val="minor"/>
    </font>
    <font>
      <b/>
      <u/>
      <sz val="18"/>
      <color theme="7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u/>
      <sz val="18"/>
      <color rgb="FF00B0F0"/>
      <name val="Calibri"/>
      <family val="2"/>
      <scheme val="minor"/>
    </font>
    <font>
      <b/>
      <u/>
      <sz val="18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5" borderId="1" xfId="0" applyFill="1" applyBorder="1"/>
    <xf numFmtId="0" fontId="0" fillId="0" borderId="1" xfId="0" applyBorder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5" borderId="1" xfId="0" applyFont="1" applyFill="1" applyBorder="1"/>
    <xf numFmtId="0" fontId="1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2" fontId="0" fillId="0" borderId="0" xfId="0" applyNumberFormat="1"/>
    <xf numFmtId="0" fontId="4" fillId="0" borderId="0" xfId="0" applyFont="1"/>
    <xf numFmtId="0" fontId="1" fillId="0" borderId="0" xfId="0" applyFont="1" applyAlignment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left"/>
    </xf>
    <xf numFmtId="0" fontId="7" fillId="0" borderId="1" xfId="0" applyFont="1" applyBorder="1"/>
    <xf numFmtId="2" fontId="7" fillId="0" borderId="1" xfId="0" applyNumberFormat="1" applyFont="1" applyBorder="1"/>
    <xf numFmtId="0" fontId="3" fillId="9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0" fillId="10" borderId="1" xfId="0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66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2" fontId="0" fillId="0" borderId="0" xfId="0" applyNumberFormat="1" applyBorder="1" applyAlignment="1">
      <alignment wrapText="1"/>
    </xf>
    <xf numFmtId="0" fontId="10" fillId="0" borderId="0" xfId="0" applyFont="1"/>
    <xf numFmtId="0" fontId="0" fillId="0" borderId="1" xfId="0" applyBorder="1" applyAlignment="1">
      <alignment horizontal="right" wrapText="1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9" borderId="2" xfId="0" applyNumberFormat="1" applyFont="1" applyFill="1" applyBorder="1" applyAlignment="1">
      <alignment horizontal="center"/>
    </xf>
    <xf numFmtId="0" fontId="3" fillId="9" borderId="3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5" borderId="2" xfId="0" applyNumberFormat="1" applyFont="1" applyFill="1" applyBorder="1" applyAlignment="1">
      <alignment horizontal="center"/>
    </xf>
    <xf numFmtId="0" fontId="3" fillId="5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Kaukolämmön kulutuksen keskitehon suhde sisä- ja ulkoilman väliseen lämpötilaeroon</a:t>
            </a:r>
          </a:p>
        </c:rich>
      </c:tx>
      <c:layout>
        <c:manualLayout>
          <c:xMode val="edge"/>
          <c:yMode val="edge"/>
          <c:x val="0.19911918582816976"/>
          <c:y val="2.848950754363682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'Kaukolämmön kk.kulutus'!$L$3</c:f>
              <c:strCache>
                <c:ptCount val="1"/>
                <c:pt idx="0">
                  <c:v>Y=kX+b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'Kaukolämmön kk.kulutus'!$L$5:$L$6</c:f>
              <c:numCache>
                <c:formatCode>General</c:formatCode>
                <c:ptCount val="2"/>
                <c:pt idx="0">
                  <c:v>4</c:v>
                </c:pt>
                <c:pt idx="1">
                  <c:v>35</c:v>
                </c:pt>
              </c:numCache>
            </c:numRef>
          </c:xVal>
          <c:yVal>
            <c:numRef>
              <c:f>'Kaukolämmön kk.kulutus'!$M$5:$M$6</c:f>
              <c:numCache>
                <c:formatCode>0.00</c:formatCode>
                <c:ptCount val="2"/>
                <c:pt idx="0">
                  <c:v>131.7520661856031</c:v>
                </c:pt>
                <c:pt idx="1">
                  <c:v>515.37936293234065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'Kaukolämmön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kk.kulutus'!$I$4</c:f>
              <c:numCache>
                <c:formatCode>General</c:formatCode>
                <c:ptCount val="1"/>
                <c:pt idx="0">
                  <c:v>30</c:v>
                </c:pt>
              </c:numCache>
            </c:numRef>
          </c:xVal>
          <c:yVal>
            <c:numRef>
              <c:f>'Kaukolämmön kk.kulutus'!$E$4</c:f>
              <c:numCache>
                <c:formatCode>0.0</c:formatCode>
                <c:ptCount val="1"/>
                <c:pt idx="0">
                  <c:v>524.19354838709671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'Kaukolämmön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184545970574271E-2"/>
                  <c:y val="-8.333335156022565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kk.kulutus'!$I$5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'Kaukolämmön kk.kulutus'!$E$5</c:f>
              <c:numCache>
                <c:formatCode>0.0</c:formatCode>
                <c:ptCount val="1"/>
                <c:pt idx="0">
                  <c:v>446.42857142857144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'Kaukolämmön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kk.kulutus'!$I$6</c:f>
              <c:numCache>
                <c:formatCode>General</c:formatCode>
                <c:ptCount val="1"/>
                <c:pt idx="0">
                  <c:v>27</c:v>
                </c:pt>
              </c:numCache>
            </c:numRef>
          </c:xVal>
          <c:yVal>
            <c:numRef>
              <c:f>'Kaukolämmön kk.kulutus'!$E$6</c:f>
              <c:numCache>
                <c:formatCode>0.0</c:formatCode>
                <c:ptCount val="1"/>
                <c:pt idx="0">
                  <c:v>376.34408602150535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'Kaukolämmön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kk.kulutus'!$I$7</c:f>
              <c:numCache>
                <c:formatCode>General</c:formatCode>
                <c:ptCount val="1"/>
                <c:pt idx="0">
                  <c:v>23</c:v>
                </c:pt>
              </c:numCache>
            </c:numRef>
          </c:xVal>
          <c:yVal>
            <c:numRef>
              <c:f>'Kaukolämmön kk.kulutus'!$E$7</c:f>
              <c:numCache>
                <c:formatCode>0.0</c:formatCode>
                <c:ptCount val="1"/>
                <c:pt idx="0">
                  <c:v>277.77777777777777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'Kaukolämmön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2.606262664486983E-3"/>
                  <c:y val="2.7777783853408541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kk.kulutus'!$I$8</c:f>
              <c:numCache>
                <c:formatCode>General</c:formatCode>
                <c:ptCount val="1"/>
                <c:pt idx="0">
                  <c:v>18</c:v>
                </c:pt>
              </c:numCache>
            </c:numRef>
          </c:xVal>
          <c:yVal>
            <c:numRef>
              <c:f>'Kaukolämmön kk.kulutus'!$E$8</c:f>
              <c:numCache>
                <c:formatCode>0.0</c:formatCode>
                <c:ptCount val="1"/>
                <c:pt idx="0">
                  <c:v>268.81720430107526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'Kaukolämmön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5.833334609215783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kk.kulutus'!$I$9</c:f>
              <c:numCache>
                <c:formatCode>General</c:formatCode>
                <c:ptCount val="1"/>
                <c:pt idx="0">
                  <c:v>15</c:v>
                </c:pt>
              </c:numCache>
            </c:numRef>
          </c:xVal>
          <c:yVal>
            <c:numRef>
              <c:f>'Kaukolämmön kk.kulutus'!$E$9</c:f>
              <c:numCache>
                <c:formatCode>0.0</c:formatCode>
                <c:ptCount val="1"/>
                <c:pt idx="0">
                  <c:v>277.77777777777777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'Kaukolämmön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kk.kulutus'!$I$10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'Kaukolämmön kk.kulutus'!$E$10</c:f>
              <c:numCache>
                <c:formatCode>0.0</c:formatCode>
                <c:ptCount val="1"/>
                <c:pt idx="0">
                  <c:v>201.61290322580643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'Kaukolämmön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187879934609478E-3"/>
                  <c:y val="-4.72222325507945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kk.kulutus'!$I$11</c:f>
              <c:numCache>
                <c:formatCode>General</c:formatCode>
                <c:ptCount val="1"/>
                <c:pt idx="0">
                  <c:v>11</c:v>
                </c:pt>
              </c:numCache>
            </c:numRef>
          </c:xVal>
          <c:yVal>
            <c:numRef>
              <c:f>'Kaukolämmön kk.kulutus'!$E$11</c:f>
              <c:numCache>
                <c:formatCode>0.0</c:formatCode>
                <c:ptCount val="1"/>
                <c:pt idx="0">
                  <c:v>268.81720430107526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'Kaukolämmön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728181990191423E-2"/>
                  <c:y val="-7.500001640420311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kk.kulutus'!$I$12</c:f>
              <c:numCache>
                <c:formatCode>General</c:formatCode>
                <c:ptCount val="1"/>
                <c:pt idx="0">
                  <c:v>16</c:v>
                </c:pt>
              </c:numCache>
            </c:numRef>
          </c:xVal>
          <c:yVal>
            <c:numRef>
              <c:f>'Kaukolämmön kk.kulutus'!$E$12</c:f>
              <c:numCache>
                <c:formatCode>0.0</c:formatCode>
                <c:ptCount val="1"/>
                <c:pt idx="0">
                  <c:v>277.77777777777777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'Kaukolämmön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kk.kulutus'!$I$13</c:f>
              <c:numCache>
                <c:formatCode>General</c:formatCode>
                <c:ptCount val="1"/>
                <c:pt idx="0">
                  <c:v>22</c:v>
                </c:pt>
              </c:numCache>
            </c:numRef>
          </c:xVal>
          <c:yVal>
            <c:numRef>
              <c:f>'Kaukolämmön kk.kulutus'!$E$13</c:f>
              <c:numCache>
                <c:formatCode>0.0</c:formatCode>
                <c:ptCount val="1"/>
                <c:pt idx="0">
                  <c:v>336.02150537634407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'Kaukolämmön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0369091941148626E-2"/>
                  <c:y val="-5.277778932147622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kk.kulutus'!$I$14</c:f>
              <c:numCache>
                <c:formatCode>General</c:formatCode>
                <c:ptCount val="1"/>
                <c:pt idx="0">
                  <c:v>26</c:v>
                </c:pt>
              </c:numCache>
            </c:numRef>
          </c:xVal>
          <c:yVal>
            <c:numRef>
              <c:f>'Kaukolämmön kk.kulutus'!$E$14</c:f>
              <c:numCache>
                <c:formatCode>0.0</c:formatCode>
                <c:ptCount val="1"/>
                <c:pt idx="0">
                  <c:v>416.66666666666669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'Kaukolämmön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9.0043136844870902E-3"/>
                  <c:y val="4.369763351882440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kk.kulutus'!$I$15</c:f>
              <c:numCache>
                <c:formatCode>General</c:formatCode>
                <c:ptCount val="1"/>
                <c:pt idx="0">
                  <c:v>30</c:v>
                </c:pt>
              </c:numCache>
            </c:numRef>
          </c:xVal>
          <c:yVal>
            <c:numRef>
              <c:f>'Kaukolämmön kk.kulutus'!$E$15</c:f>
              <c:numCache>
                <c:formatCode>0.0</c:formatCode>
                <c:ptCount val="1"/>
                <c:pt idx="0">
                  <c:v>470.43010752688173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22376"/>
        <c:axId val="427122768"/>
      </c:scatterChart>
      <c:valAx>
        <c:axId val="427122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Sisä</a:t>
                </a:r>
                <a:r>
                  <a:rPr lang="fi-FI" sz="1600" baseline="0"/>
                  <a:t>- ja ulkoilman välinen lämpötilaero [°C]</a:t>
                </a:r>
                <a:endParaRPr lang="fi-FI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7122768"/>
        <c:crosses val="autoZero"/>
        <c:crossBetween val="midCat"/>
      </c:valAx>
      <c:valAx>
        <c:axId val="427122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Kaukolämmönkulutuksen keskiteho [kW]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7122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Kaukolämmön kulutuksen keskitehon suhde kävijämääriin</a:t>
            </a:r>
          </a:p>
        </c:rich>
      </c:tx>
      <c:layout>
        <c:manualLayout>
          <c:xMode val="edge"/>
          <c:yMode val="edge"/>
          <c:x val="0.30617204042457047"/>
          <c:y val="3.6687045685404811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'Kaukolämmön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kk.kulutus'!$G$4</c:f>
              <c:numCache>
                <c:formatCode>General</c:formatCode>
                <c:ptCount val="1"/>
                <c:pt idx="0">
                  <c:v>33000</c:v>
                </c:pt>
              </c:numCache>
            </c:numRef>
          </c:xVal>
          <c:yVal>
            <c:numRef>
              <c:f>'Kaukolämmön kk.kulutus'!$E$4</c:f>
              <c:numCache>
                <c:formatCode>0.0</c:formatCode>
                <c:ptCount val="1"/>
                <c:pt idx="0">
                  <c:v>524.19354838709671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'Kaukolämmön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kk.kulutus'!$G$5</c:f>
              <c:numCache>
                <c:formatCode>General</c:formatCode>
                <c:ptCount val="1"/>
                <c:pt idx="0">
                  <c:v>32000</c:v>
                </c:pt>
              </c:numCache>
            </c:numRef>
          </c:xVal>
          <c:yVal>
            <c:numRef>
              <c:f>'Kaukolämmön kk.kulutus'!$E$5</c:f>
              <c:numCache>
                <c:formatCode>0.0</c:formatCode>
                <c:ptCount val="1"/>
                <c:pt idx="0">
                  <c:v>446.42857142857144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'Kaukolämmön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kk.kulutus'!$G$6</c:f>
              <c:numCache>
                <c:formatCode>General</c:formatCode>
                <c:ptCount val="1"/>
                <c:pt idx="0">
                  <c:v>30000</c:v>
                </c:pt>
              </c:numCache>
            </c:numRef>
          </c:xVal>
          <c:yVal>
            <c:numRef>
              <c:f>'Kaukolämmön kk.kulutus'!$E$6</c:f>
              <c:numCache>
                <c:formatCode>0.0</c:formatCode>
                <c:ptCount val="1"/>
                <c:pt idx="0">
                  <c:v>376.34408602150535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'Kaukolämmön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kk.kulutus'!$G$7</c:f>
              <c:numCache>
                <c:formatCode>General</c:formatCode>
                <c:ptCount val="1"/>
                <c:pt idx="0">
                  <c:v>29000</c:v>
                </c:pt>
              </c:numCache>
            </c:numRef>
          </c:xVal>
          <c:yVal>
            <c:numRef>
              <c:f>'Kaukolämmön kk.kulutus'!$E$7</c:f>
              <c:numCache>
                <c:formatCode>0.0</c:formatCode>
                <c:ptCount val="1"/>
                <c:pt idx="0">
                  <c:v>277.77777777777777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'Kaukolämmön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kk.kulutus'!$G$8</c:f>
              <c:numCache>
                <c:formatCode>General</c:formatCode>
                <c:ptCount val="1"/>
                <c:pt idx="0">
                  <c:v>20000</c:v>
                </c:pt>
              </c:numCache>
            </c:numRef>
          </c:xVal>
          <c:yVal>
            <c:numRef>
              <c:f>'Kaukolämmön kk.kulutus'!$E$8</c:f>
              <c:numCache>
                <c:formatCode>0.0</c:formatCode>
                <c:ptCount val="1"/>
                <c:pt idx="0">
                  <c:v>268.81720430107526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'Kaukolämmön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kk.kulutus'!$G$9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xVal>
          <c:yVal>
            <c:numRef>
              <c:f>'Kaukolämmön kk.kulutus'!$E$9</c:f>
              <c:numCache>
                <c:formatCode>0.0</c:formatCode>
                <c:ptCount val="1"/>
                <c:pt idx="0">
                  <c:v>277.77777777777777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'Kaukolämmön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kk.kulutus'!$G$10</c:f>
              <c:numCache>
                <c:formatCode>General</c:formatCode>
                <c:ptCount val="1"/>
                <c:pt idx="0">
                  <c:v>10000</c:v>
                </c:pt>
              </c:numCache>
            </c:numRef>
          </c:xVal>
          <c:yVal>
            <c:numRef>
              <c:f>'Kaukolämmön kk.kulutus'!$E$10</c:f>
              <c:numCache>
                <c:formatCode>0.0</c:formatCode>
                <c:ptCount val="1"/>
                <c:pt idx="0">
                  <c:v>201.61290322580643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'Kaukolämmön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kk.kulutus'!$G$11</c:f>
              <c:numCache>
                <c:formatCode>General</c:formatCode>
                <c:ptCount val="1"/>
                <c:pt idx="0">
                  <c:v>15000</c:v>
                </c:pt>
              </c:numCache>
            </c:numRef>
          </c:xVal>
          <c:yVal>
            <c:numRef>
              <c:f>'Kaukolämmön kk.kulutus'!$E$11</c:f>
              <c:numCache>
                <c:formatCode>0.0</c:formatCode>
                <c:ptCount val="1"/>
                <c:pt idx="0">
                  <c:v>268.81720430107526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'Kaukolämmön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kk.kulutus'!$G$12</c:f>
              <c:numCache>
                <c:formatCode>General</c:formatCode>
                <c:ptCount val="1"/>
                <c:pt idx="0">
                  <c:v>25000</c:v>
                </c:pt>
              </c:numCache>
            </c:numRef>
          </c:xVal>
          <c:yVal>
            <c:numRef>
              <c:f>'Kaukolämmön kk.kulutus'!$E$12</c:f>
              <c:numCache>
                <c:formatCode>0.0</c:formatCode>
                <c:ptCount val="1"/>
                <c:pt idx="0">
                  <c:v>277.77777777777777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'Kaukolämmön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kk.kulutus'!$G$13</c:f>
              <c:numCache>
                <c:formatCode>General</c:formatCode>
                <c:ptCount val="1"/>
                <c:pt idx="0">
                  <c:v>28000</c:v>
                </c:pt>
              </c:numCache>
            </c:numRef>
          </c:xVal>
          <c:yVal>
            <c:numRef>
              <c:f>'Kaukolämmön kk.kulutus'!$E$13</c:f>
              <c:numCache>
                <c:formatCode>0.0</c:formatCode>
                <c:ptCount val="1"/>
                <c:pt idx="0">
                  <c:v>336.02150537634407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'Kaukolämmön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kk.kulutus'!$G$14</c:f>
              <c:numCache>
                <c:formatCode>General</c:formatCode>
                <c:ptCount val="1"/>
                <c:pt idx="0">
                  <c:v>30000</c:v>
                </c:pt>
              </c:numCache>
            </c:numRef>
          </c:xVal>
          <c:yVal>
            <c:numRef>
              <c:f>'Kaukolämmön kk.kulutus'!$E$14</c:f>
              <c:numCache>
                <c:formatCode>0.0</c:formatCode>
                <c:ptCount val="1"/>
                <c:pt idx="0">
                  <c:v>416.66666666666669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'Kaukolämmön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kk.kulutus'!$G$15</c:f>
              <c:numCache>
                <c:formatCode>General</c:formatCode>
                <c:ptCount val="1"/>
                <c:pt idx="0">
                  <c:v>32000</c:v>
                </c:pt>
              </c:numCache>
            </c:numRef>
          </c:xVal>
          <c:yVal>
            <c:numRef>
              <c:f>'Kaukolämmön kk.kulutus'!$E$15</c:f>
              <c:numCache>
                <c:formatCode>0.0</c:formatCode>
                <c:ptCount val="1"/>
                <c:pt idx="0">
                  <c:v>470.43010752688173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'Kaukolämmön kk.kulutus'!$P$3</c:f>
              <c:strCache>
                <c:ptCount val="1"/>
                <c:pt idx="0">
                  <c:v>Kulutuksen suhde kävijämääriin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>
                    <a:lumMod val="80000"/>
                    <a:lumOff val="20000"/>
                  </a:schemeClr>
                </a:solidFill>
                <a:ln w="9525">
                  <a:solidFill>
                    <a:schemeClr val="accent1">
                      <a:lumMod val="80000"/>
                      <a:lumOff val="2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1"/>
                </a:solidFill>
                <a:prstDash val="sysDash"/>
                <a:round/>
              </a:ln>
              <a:effectLst/>
            </c:spPr>
          </c:dPt>
          <c:xVal>
            <c:numRef>
              <c:f>'Kaukolämmön kk.kulutus'!$O$5:$O$6</c:f>
              <c:numCache>
                <c:formatCode>General</c:formatCode>
                <c:ptCount val="2"/>
                <c:pt idx="0">
                  <c:v>8000</c:v>
                </c:pt>
                <c:pt idx="1">
                  <c:v>35000</c:v>
                </c:pt>
              </c:numCache>
            </c:numRef>
          </c:xVal>
          <c:yVal>
            <c:numRef>
              <c:f>'Kaukolämmön kk.kulutus'!$P$5:$P$6</c:f>
              <c:numCache>
                <c:formatCode>General</c:formatCode>
                <c:ptCount val="2"/>
                <c:pt idx="0">
                  <c:v>156.06158731232733</c:v>
                </c:pt>
                <c:pt idx="1">
                  <c:v>453.576170982966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23552"/>
        <c:axId val="427123944"/>
      </c:scatterChart>
      <c:valAx>
        <c:axId val="427123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Kävijämäärä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7123944"/>
        <c:crosses val="autoZero"/>
        <c:crossBetween val="midCat"/>
      </c:valAx>
      <c:valAx>
        <c:axId val="4271239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Kaukolämmönkulutuksen keskiteho [kW]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7123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Sähkön kulutuksen keskitehon suhde sisä- ja ulkoilman väliseen lämpötilaeroon</a:t>
            </a:r>
          </a:p>
        </c:rich>
      </c:tx>
      <c:layout>
        <c:manualLayout>
          <c:xMode val="edge"/>
          <c:yMode val="edge"/>
          <c:x val="0.19911918582816976"/>
          <c:y val="2.848950754363682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9165684016714569E-2"/>
          <c:y val="0.16969448156047282"/>
          <c:w val="0.89055759245357669"/>
          <c:h val="0.75328253571359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'Sähkön kk.kulutus'!$L$10:$M$10</c:f>
              <c:strCache>
                <c:ptCount val="1"/>
                <c:pt idx="0">
                  <c:v>Suoran yhtälö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'Sähkön kk.kulutus'!$L$5:$L$6</c:f>
              <c:numCache>
                <c:formatCode>General</c:formatCode>
                <c:ptCount val="2"/>
                <c:pt idx="0">
                  <c:v>4</c:v>
                </c:pt>
                <c:pt idx="1">
                  <c:v>35</c:v>
                </c:pt>
              </c:numCache>
            </c:numRef>
          </c:xVal>
          <c:yVal>
            <c:numRef>
              <c:f>'Sähkön kk.kulutus'!$M$5:$M$6</c:f>
              <c:numCache>
                <c:formatCode>0.00</c:formatCode>
                <c:ptCount val="2"/>
                <c:pt idx="0">
                  <c:v>98.367938919543604</c:v>
                </c:pt>
                <c:pt idx="1">
                  <c:v>201.2328636554976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'Sähkön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kk.kulutus'!$I$4</c:f>
              <c:numCache>
                <c:formatCode>General</c:formatCode>
                <c:ptCount val="1"/>
                <c:pt idx="0">
                  <c:v>30</c:v>
                </c:pt>
              </c:numCache>
            </c:numRef>
          </c:xVal>
          <c:yVal>
            <c:numRef>
              <c:f>'Sähkön kk.kulutus'!$E$4</c:f>
              <c:numCache>
                <c:formatCode>0.0</c:formatCode>
                <c:ptCount val="1"/>
                <c:pt idx="0">
                  <c:v>181.45161290322582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'Sähkön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184545970574271E-2"/>
                  <c:y val="-8.333335156022565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kk.kulutus'!$I$5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'Sähkön kk.kulutus'!$E$5</c:f>
              <c:numCache>
                <c:formatCode>0.0</c:formatCode>
                <c:ptCount val="1"/>
                <c:pt idx="0">
                  <c:v>193.45238095238096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'Sähkön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kk.kulutus'!$I$6</c:f>
              <c:numCache>
                <c:formatCode>General</c:formatCode>
                <c:ptCount val="1"/>
                <c:pt idx="0">
                  <c:v>27</c:v>
                </c:pt>
              </c:numCache>
            </c:numRef>
          </c:xVal>
          <c:yVal>
            <c:numRef>
              <c:f>'Sähkön kk.kulutus'!$E$6</c:f>
              <c:numCache>
                <c:formatCode>0.0</c:formatCode>
                <c:ptCount val="1"/>
                <c:pt idx="0">
                  <c:v>168.01075268817203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'Sähkön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940707319165294E-2"/>
                  <c:y val="-8.3333351560225619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kk.kulutus'!$I$7</c:f>
              <c:numCache>
                <c:formatCode>General</c:formatCode>
                <c:ptCount val="1"/>
                <c:pt idx="0">
                  <c:v>23</c:v>
                </c:pt>
              </c:numCache>
            </c:numRef>
          </c:xVal>
          <c:yVal>
            <c:numRef>
              <c:f>'Sähkön kk.kulutus'!$E$7</c:f>
              <c:numCache>
                <c:formatCode>0.0</c:formatCode>
                <c:ptCount val="1"/>
                <c:pt idx="0">
                  <c:v>152.7777777777778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'Sähkön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606262664486983E-3"/>
                  <c:y val="2.7777783853408541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kk.kulutus'!$I$8</c:f>
              <c:numCache>
                <c:formatCode>General</c:formatCode>
                <c:ptCount val="1"/>
                <c:pt idx="0">
                  <c:v>18</c:v>
                </c:pt>
              </c:numCache>
            </c:numRef>
          </c:xVal>
          <c:yVal>
            <c:numRef>
              <c:f>'Sähkön kk.kulutus'!$E$8</c:f>
              <c:numCache>
                <c:formatCode>0.0</c:formatCode>
                <c:ptCount val="1"/>
                <c:pt idx="0">
                  <c:v>141.12903225806454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'Sähkön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5.833334609215783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kk.kulutus'!$I$9</c:f>
              <c:numCache>
                <c:formatCode>General</c:formatCode>
                <c:ptCount val="1"/>
                <c:pt idx="0">
                  <c:v>15</c:v>
                </c:pt>
              </c:numCache>
            </c:numRef>
          </c:xVal>
          <c:yVal>
            <c:numRef>
              <c:f>'Sähkön kk.kulutus'!$E$9</c:f>
              <c:numCache>
                <c:formatCode>0.0</c:formatCode>
                <c:ptCount val="1"/>
                <c:pt idx="0">
                  <c:v>111.1111111111111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'Sähkön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3031313322434915E-3"/>
                  <c:y val="1.66666703120451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kk.kulutus'!$I$10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'Sähkön kk.kulutus'!$E$10</c:f>
              <c:numCache>
                <c:formatCode>0.0</c:formatCode>
                <c:ptCount val="1"/>
                <c:pt idx="0">
                  <c:v>94.086021505376337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'Sähkön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187879934609478E-3"/>
                  <c:y val="-4.72222325507945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kk.kulutus'!$I$11</c:f>
              <c:numCache>
                <c:formatCode>General</c:formatCode>
                <c:ptCount val="1"/>
                <c:pt idx="0">
                  <c:v>11</c:v>
                </c:pt>
              </c:numCache>
            </c:numRef>
          </c:xVal>
          <c:yVal>
            <c:numRef>
              <c:f>'Sähkön kk.kulutus'!$E$11</c:f>
              <c:numCache>
                <c:formatCode>0.0</c:formatCode>
                <c:ptCount val="1"/>
                <c:pt idx="0">
                  <c:v>147.84946236559139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'Sähkön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728181990191423E-2"/>
                  <c:y val="-7.500001640420311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kk.kulutus'!$I$12</c:f>
              <c:numCache>
                <c:formatCode>General</c:formatCode>
                <c:ptCount val="1"/>
                <c:pt idx="0">
                  <c:v>16</c:v>
                </c:pt>
              </c:numCache>
            </c:numRef>
          </c:xVal>
          <c:yVal>
            <c:numRef>
              <c:f>'Sähkön kk.kulutus'!$E$12</c:f>
              <c:numCache>
                <c:formatCode>0.0</c:formatCode>
                <c:ptCount val="1"/>
                <c:pt idx="0">
                  <c:v>159.7222222222222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'Sähkön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9093939967304739E-3"/>
                  <c:y val="4.72222325507945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kk.kulutus'!$I$13</c:f>
              <c:numCache>
                <c:formatCode>General</c:formatCode>
                <c:ptCount val="1"/>
                <c:pt idx="0">
                  <c:v>22</c:v>
                </c:pt>
              </c:numCache>
            </c:numRef>
          </c:xVal>
          <c:yVal>
            <c:numRef>
              <c:f>'Sähkön kk.kulutus'!$E$13</c:f>
              <c:numCache>
                <c:formatCode>0.0</c:formatCode>
                <c:ptCount val="1"/>
                <c:pt idx="0">
                  <c:v>168.01075268817203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'Sähkön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0369091941148626E-2"/>
                  <c:y val="-5.277778932147622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kk.kulutus'!$I$14</c:f>
              <c:numCache>
                <c:formatCode>General</c:formatCode>
                <c:ptCount val="1"/>
                <c:pt idx="0">
                  <c:v>26</c:v>
                </c:pt>
              </c:numCache>
            </c:numRef>
          </c:xVal>
          <c:yVal>
            <c:numRef>
              <c:f>'Sähkön kk.kulutus'!$E$14</c:f>
              <c:numCache>
                <c:formatCode>0.0</c:formatCode>
                <c:ptCount val="1"/>
                <c:pt idx="0">
                  <c:v>173.61111111111111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'Sähkön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5.2125253289740615E-3"/>
                  <c:y val="1.111111354136341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kk.kulutus'!$I$15</c:f>
              <c:numCache>
                <c:formatCode>General</c:formatCode>
                <c:ptCount val="1"/>
                <c:pt idx="0">
                  <c:v>30</c:v>
                </c:pt>
              </c:numCache>
            </c:numRef>
          </c:xVal>
          <c:yVal>
            <c:numRef>
              <c:f>'Sähkön kk.kulutus'!$E$15</c:f>
              <c:numCache>
                <c:formatCode>0.0</c:formatCode>
                <c:ptCount val="1"/>
                <c:pt idx="0">
                  <c:v>176.07526881720432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24728"/>
        <c:axId val="427892592"/>
      </c:scatterChart>
      <c:valAx>
        <c:axId val="427124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Sisä</a:t>
                </a:r>
                <a:r>
                  <a:rPr lang="fi-FI" sz="1600" baseline="0"/>
                  <a:t>- ja ulkoilman välinen lämpötilaero [°C]</a:t>
                </a:r>
                <a:endParaRPr lang="fi-FI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7892592"/>
        <c:crosses val="autoZero"/>
        <c:crossBetween val="midCat"/>
      </c:valAx>
      <c:valAx>
        <c:axId val="4278925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Sähkön kulutuksen keskiteho [kW]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7124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Sähkön kulutuksen keskitehon suhde kävijämääriin</a:t>
            </a:r>
          </a:p>
        </c:rich>
      </c:tx>
      <c:layout>
        <c:manualLayout>
          <c:xMode val="edge"/>
          <c:yMode val="edge"/>
          <c:x val="0.30617204042457047"/>
          <c:y val="3.6687045685404811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'Sähkön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kk.kulutus'!$G$4</c:f>
              <c:numCache>
                <c:formatCode>General</c:formatCode>
                <c:ptCount val="1"/>
                <c:pt idx="0">
                  <c:v>33000</c:v>
                </c:pt>
              </c:numCache>
            </c:numRef>
          </c:xVal>
          <c:yVal>
            <c:numRef>
              <c:f>'Sähkön kk.kulutus'!$E$4</c:f>
              <c:numCache>
                <c:formatCode>0.0</c:formatCode>
                <c:ptCount val="1"/>
                <c:pt idx="0">
                  <c:v>181.45161290322582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'Sähkön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kk.kulutus'!$G$5</c:f>
              <c:numCache>
                <c:formatCode>General</c:formatCode>
                <c:ptCount val="1"/>
                <c:pt idx="0">
                  <c:v>32000</c:v>
                </c:pt>
              </c:numCache>
            </c:numRef>
          </c:xVal>
          <c:yVal>
            <c:numRef>
              <c:f>'Sähkön kk.kulutus'!$E$5</c:f>
              <c:numCache>
                <c:formatCode>0.0</c:formatCode>
                <c:ptCount val="1"/>
                <c:pt idx="0">
                  <c:v>193.45238095238096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'Sähkön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kk.kulutus'!$G$6</c:f>
              <c:numCache>
                <c:formatCode>General</c:formatCode>
                <c:ptCount val="1"/>
                <c:pt idx="0">
                  <c:v>30000</c:v>
                </c:pt>
              </c:numCache>
            </c:numRef>
          </c:xVal>
          <c:yVal>
            <c:numRef>
              <c:f>'Sähkön kk.kulutus'!$E$6</c:f>
              <c:numCache>
                <c:formatCode>0.0</c:formatCode>
                <c:ptCount val="1"/>
                <c:pt idx="0">
                  <c:v>168.01075268817203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'Sähkön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kk.kulutus'!$G$7</c:f>
              <c:numCache>
                <c:formatCode>General</c:formatCode>
                <c:ptCount val="1"/>
                <c:pt idx="0">
                  <c:v>29000</c:v>
                </c:pt>
              </c:numCache>
            </c:numRef>
          </c:xVal>
          <c:yVal>
            <c:numRef>
              <c:f>'Sähkön kk.kulutus'!$E$7</c:f>
              <c:numCache>
                <c:formatCode>0.0</c:formatCode>
                <c:ptCount val="1"/>
                <c:pt idx="0">
                  <c:v>152.7777777777778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'Sähkön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kk.kulutus'!$G$8</c:f>
              <c:numCache>
                <c:formatCode>General</c:formatCode>
                <c:ptCount val="1"/>
                <c:pt idx="0">
                  <c:v>20000</c:v>
                </c:pt>
              </c:numCache>
            </c:numRef>
          </c:xVal>
          <c:yVal>
            <c:numRef>
              <c:f>'Sähkön kk.kulutus'!$E$8</c:f>
              <c:numCache>
                <c:formatCode>0.0</c:formatCode>
                <c:ptCount val="1"/>
                <c:pt idx="0">
                  <c:v>141.12903225806454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'Sähkön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kk.kulutus'!$G$9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xVal>
          <c:yVal>
            <c:numRef>
              <c:f>'Sähkön kk.kulutus'!$E$9</c:f>
              <c:numCache>
                <c:formatCode>0.0</c:formatCode>
                <c:ptCount val="1"/>
                <c:pt idx="0">
                  <c:v>111.1111111111111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'Sähkön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kk.kulutus'!$G$10</c:f>
              <c:numCache>
                <c:formatCode>General</c:formatCode>
                <c:ptCount val="1"/>
                <c:pt idx="0">
                  <c:v>10000</c:v>
                </c:pt>
              </c:numCache>
            </c:numRef>
          </c:xVal>
          <c:yVal>
            <c:numRef>
              <c:f>'Sähkön kk.kulutus'!$E$10</c:f>
              <c:numCache>
                <c:formatCode>0.0</c:formatCode>
                <c:ptCount val="1"/>
                <c:pt idx="0">
                  <c:v>94.086021505376337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'Sähkön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kk.kulutus'!$G$11</c:f>
              <c:numCache>
                <c:formatCode>General</c:formatCode>
                <c:ptCount val="1"/>
                <c:pt idx="0">
                  <c:v>15000</c:v>
                </c:pt>
              </c:numCache>
            </c:numRef>
          </c:xVal>
          <c:yVal>
            <c:numRef>
              <c:f>'Sähkön kk.kulutus'!$E$11</c:f>
              <c:numCache>
                <c:formatCode>0.0</c:formatCode>
                <c:ptCount val="1"/>
                <c:pt idx="0">
                  <c:v>147.84946236559139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'Sähkön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kk.kulutus'!$G$12</c:f>
              <c:numCache>
                <c:formatCode>General</c:formatCode>
                <c:ptCount val="1"/>
                <c:pt idx="0">
                  <c:v>25000</c:v>
                </c:pt>
              </c:numCache>
            </c:numRef>
          </c:xVal>
          <c:yVal>
            <c:numRef>
              <c:f>'Sähkön kk.kulutus'!$E$12</c:f>
              <c:numCache>
                <c:formatCode>0.0</c:formatCode>
                <c:ptCount val="1"/>
                <c:pt idx="0">
                  <c:v>159.7222222222222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'Sähkön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kk.kulutus'!$G$13</c:f>
              <c:numCache>
                <c:formatCode>General</c:formatCode>
                <c:ptCount val="1"/>
                <c:pt idx="0">
                  <c:v>28000</c:v>
                </c:pt>
              </c:numCache>
            </c:numRef>
          </c:xVal>
          <c:yVal>
            <c:numRef>
              <c:f>'Sähkön kk.kulutus'!$E$13</c:f>
              <c:numCache>
                <c:formatCode>0.0</c:formatCode>
                <c:ptCount val="1"/>
                <c:pt idx="0">
                  <c:v>168.01075268817203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'Sähkön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kk.kulutus'!$G$14</c:f>
              <c:numCache>
                <c:formatCode>General</c:formatCode>
                <c:ptCount val="1"/>
                <c:pt idx="0">
                  <c:v>30000</c:v>
                </c:pt>
              </c:numCache>
            </c:numRef>
          </c:xVal>
          <c:yVal>
            <c:numRef>
              <c:f>'Sähkön kk.kulutus'!$E$14</c:f>
              <c:numCache>
                <c:formatCode>0.0</c:formatCode>
                <c:ptCount val="1"/>
                <c:pt idx="0">
                  <c:v>173.61111111111111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'Sähkön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kk.kulutus'!$G$15</c:f>
              <c:numCache>
                <c:formatCode>General</c:formatCode>
                <c:ptCount val="1"/>
                <c:pt idx="0">
                  <c:v>32000</c:v>
                </c:pt>
              </c:numCache>
            </c:numRef>
          </c:xVal>
          <c:yVal>
            <c:numRef>
              <c:f>'Sähkön kk.kulutus'!$E$15</c:f>
              <c:numCache>
                <c:formatCode>0.0</c:formatCode>
                <c:ptCount val="1"/>
                <c:pt idx="0">
                  <c:v>176.07526881720432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'Sähkön kk.kulutus'!$P$3</c:f>
              <c:strCache>
                <c:ptCount val="1"/>
                <c:pt idx="0">
                  <c:v>Kulutuksen suhde kävijämääriin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>
                    <a:lumMod val="80000"/>
                    <a:lumOff val="20000"/>
                  </a:schemeClr>
                </a:solidFill>
                <a:ln w="9525">
                  <a:solidFill>
                    <a:schemeClr val="accent1">
                      <a:lumMod val="80000"/>
                      <a:lumOff val="2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1"/>
                </a:solidFill>
                <a:prstDash val="sysDash"/>
                <a:round/>
              </a:ln>
              <a:effectLst/>
            </c:spPr>
          </c:dPt>
          <c:xVal>
            <c:numRef>
              <c:f>'Sähkön kk.kulutus'!$O$5:$O$6</c:f>
              <c:numCache>
                <c:formatCode>General</c:formatCode>
                <c:ptCount val="2"/>
                <c:pt idx="0">
                  <c:v>8000</c:v>
                </c:pt>
                <c:pt idx="1">
                  <c:v>35000</c:v>
                </c:pt>
              </c:numCache>
            </c:numRef>
          </c:xVal>
          <c:yVal>
            <c:numRef>
              <c:f>'Sähkön kk.kulutus'!$P$5:$P$6</c:f>
              <c:numCache>
                <c:formatCode>General</c:formatCode>
                <c:ptCount val="2"/>
                <c:pt idx="0">
                  <c:v>96.812043899493332</c:v>
                </c:pt>
                <c:pt idx="1">
                  <c:v>189.28612375082932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21592"/>
        <c:axId val="427895336"/>
      </c:scatterChart>
      <c:valAx>
        <c:axId val="427121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Kävijämäärä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7895336"/>
        <c:crosses val="autoZero"/>
        <c:crossBetween val="midCat"/>
      </c:valAx>
      <c:valAx>
        <c:axId val="4278953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Sähkön kulutuksenn keskiteho [kW]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7121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Veden kulutuksen suhde sisä- ja ulkoilman väliseen lämpötilaeroon</a:t>
            </a:r>
          </a:p>
        </c:rich>
      </c:tx>
      <c:layout>
        <c:manualLayout>
          <c:xMode val="edge"/>
          <c:yMode val="edge"/>
          <c:x val="0.19911918582816976"/>
          <c:y val="2.848950754363682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4384019677407815E-2"/>
          <c:y val="0.10302780031229229"/>
          <c:w val="0.88664460595098515"/>
          <c:h val="0.75328253571359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'Veden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kk.kulutus'!$F$4</c:f>
              <c:numCache>
                <c:formatCode>General</c:formatCode>
                <c:ptCount val="1"/>
                <c:pt idx="0">
                  <c:v>30</c:v>
                </c:pt>
              </c:numCache>
            </c:numRef>
          </c:xVal>
          <c:yVal>
            <c:numRef>
              <c:f>'Veden kk.kulutus'!$B$4</c:f>
              <c:numCache>
                <c:formatCode>General</c:formatCode>
                <c:ptCount val="1"/>
                <c:pt idx="0">
                  <c:v>3800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'Veden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kk.kulutus'!$F$5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'Veden kk.kulutus'!$B$5</c:f>
              <c:numCache>
                <c:formatCode>General</c:formatCode>
                <c:ptCount val="1"/>
                <c:pt idx="0">
                  <c:v>3600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'Veden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kk.kulutus'!$F$6</c:f>
              <c:numCache>
                <c:formatCode>General</c:formatCode>
                <c:ptCount val="1"/>
                <c:pt idx="0">
                  <c:v>27</c:v>
                </c:pt>
              </c:numCache>
            </c:numRef>
          </c:xVal>
          <c:yVal>
            <c:numRef>
              <c:f>'Veden kk.kulutus'!$B$6</c:f>
              <c:numCache>
                <c:formatCode>General</c:formatCode>
                <c:ptCount val="1"/>
                <c:pt idx="0">
                  <c:v>3500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'Veden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9.3657460253038696E-3"/>
                  <c:y val="-3.333334062409030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kk.kulutus'!$F$7</c:f>
              <c:numCache>
                <c:formatCode>General</c:formatCode>
                <c:ptCount val="1"/>
                <c:pt idx="0">
                  <c:v>23</c:v>
                </c:pt>
              </c:numCache>
            </c:numRef>
          </c:xVal>
          <c:yVal>
            <c:numRef>
              <c:f>'Veden kk.kulutus'!$B$7</c:f>
              <c:numCache>
                <c:formatCode>General</c:formatCode>
                <c:ptCount val="1"/>
                <c:pt idx="0">
                  <c:v>2300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'Veden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kk.kulutus'!$F$8</c:f>
              <c:numCache>
                <c:formatCode>General</c:formatCode>
                <c:ptCount val="1"/>
                <c:pt idx="0">
                  <c:v>18</c:v>
                </c:pt>
              </c:numCache>
            </c:numRef>
          </c:xVal>
          <c:yVal>
            <c:numRef>
              <c:f>'Veden kk.kulutus'!$B$8</c:f>
              <c:numCache>
                <c:formatCode>General</c:formatCode>
                <c:ptCount val="1"/>
                <c:pt idx="0">
                  <c:v>2000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'Veden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kk.kulutus'!$F$9</c:f>
              <c:numCache>
                <c:formatCode>General</c:formatCode>
                <c:ptCount val="1"/>
                <c:pt idx="0">
                  <c:v>15</c:v>
                </c:pt>
              </c:numCache>
            </c:numRef>
          </c:xVal>
          <c:yVal>
            <c:numRef>
              <c:f>'Veden kk.kulutus'!$B$9</c:f>
              <c:numCache>
                <c:formatCode>General</c:formatCode>
                <c:ptCount val="1"/>
                <c:pt idx="0">
                  <c:v>1500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'Veden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kk.kulutus'!$F$10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'Veden kk.kulutus'!$B$10</c:f>
              <c:numCache>
                <c:formatCode>General</c:formatCode>
                <c:ptCount val="1"/>
                <c:pt idx="0">
                  <c:v>1400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'Veden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kk.kulutus'!$F$11</c:f>
              <c:numCache>
                <c:formatCode>General</c:formatCode>
                <c:ptCount val="1"/>
                <c:pt idx="0">
                  <c:v>11</c:v>
                </c:pt>
              </c:numCache>
            </c:numRef>
          </c:xVal>
          <c:yVal>
            <c:numRef>
              <c:f>'Veden kk.kulutus'!$B$11</c:f>
              <c:numCache>
                <c:formatCode>General</c:formatCode>
                <c:ptCount val="1"/>
                <c:pt idx="0">
                  <c:v>2000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'Veden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7.80478835441993E-3"/>
                  <c:y val="-5.277778932147617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kk.kulutus'!$F$12</c:f>
              <c:numCache>
                <c:formatCode>General</c:formatCode>
                <c:ptCount val="1"/>
                <c:pt idx="0">
                  <c:v>16</c:v>
                </c:pt>
              </c:numCache>
            </c:numRef>
          </c:xVal>
          <c:yVal>
            <c:numRef>
              <c:f>'Veden kk.kulutus'!$B$12</c:f>
              <c:numCache>
                <c:formatCode>General</c:formatCode>
                <c:ptCount val="1"/>
                <c:pt idx="0">
                  <c:v>2500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'Veden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7.6307900741985311E-3"/>
                  <c:y val="4.6061064151171789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kk.kulutus'!$F$13</c:f>
              <c:numCache>
                <c:formatCode>General</c:formatCode>
                <c:ptCount val="1"/>
                <c:pt idx="0">
                  <c:v>22</c:v>
                </c:pt>
              </c:numCache>
            </c:numRef>
          </c:xVal>
          <c:yVal>
            <c:numRef>
              <c:f>'Veden kk.kulutus'!$B$13</c:f>
              <c:numCache>
                <c:formatCode>General</c:formatCode>
                <c:ptCount val="1"/>
                <c:pt idx="0">
                  <c:v>3100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'Veden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kk.kulutus'!$F$14</c:f>
              <c:numCache>
                <c:formatCode>General</c:formatCode>
                <c:ptCount val="1"/>
                <c:pt idx="0">
                  <c:v>26</c:v>
                </c:pt>
              </c:numCache>
            </c:numRef>
          </c:xVal>
          <c:yVal>
            <c:numRef>
              <c:f>'Veden kk.kulutus'!$B$14</c:f>
              <c:numCache>
                <c:formatCode>General</c:formatCode>
                <c:ptCount val="1"/>
                <c:pt idx="0">
                  <c:v>3000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'Veden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kk.kulutus'!$F$15</c:f>
              <c:numCache>
                <c:formatCode>General</c:formatCode>
                <c:ptCount val="1"/>
                <c:pt idx="0">
                  <c:v>30</c:v>
                </c:pt>
              </c:numCache>
            </c:numRef>
          </c:xVal>
          <c:yVal>
            <c:numRef>
              <c:f>'Veden kk.kulutus'!$B$15</c:f>
              <c:numCache>
                <c:formatCode>General</c:formatCode>
                <c:ptCount val="1"/>
                <c:pt idx="0">
                  <c:v>3200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'Veden kk.kulutus'!$J$3</c:f>
              <c:strCache>
                <c:ptCount val="1"/>
                <c:pt idx="0">
                  <c:v>Lämpötilaeron ja kulutuksen välinen suhde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'Veden kk.kulutus'!$I$5:$I$6</c:f>
              <c:numCache>
                <c:formatCode>General</c:formatCode>
                <c:ptCount val="2"/>
                <c:pt idx="0">
                  <c:v>4</c:v>
                </c:pt>
                <c:pt idx="1">
                  <c:v>35</c:v>
                </c:pt>
              </c:numCache>
            </c:numRef>
          </c:xVal>
          <c:yVal>
            <c:numRef>
              <c:f>'Veden kk.kulutus'!$J$5:$J$6</c:f>
              <c:numCache>
                <c:formatCode>0.00</c:formatCode>
                <c:ptCount val="2"/>
                <c:pt idx="0">
                  <c:v>915.79839051249496</c:v>
                </c:pt>
                <c:pt idx="1">
                  <c:v>4047.3104616687847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896120"/>
        <c:axId val="428525856"/>
      </c:scatterChart>
      <c:valAx>
        <c:axId val="427896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Sisä</a:t>
                </a:r>
                <a:r>
                  <a:rPr lang="fi-FI" sz="1600" baseline="0"/>
                  <a:t>- ja ulkoilman välinen lämpötilaero [°C]</a:t>
                </a:r>
                <a:endParaRPr lang="fi-FI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8525856"/>
        <c:crosses val="autoZero"/>
        <c:crossBetween val="midCat"/>
      </c:valAx>
      <c:valAx>
        <c:axId val="4285258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Veden kulutus [m3]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7896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Veden kulutuksen suhde kävijämääriin</a:t>
            </a:r>
          </a:p>
        </c:rich>
      </c:tx>
      <c:layout>
        <c:manualLayout>
          <c:xMode val="edge"/>
          <c:yMode val="edge"/>
          <c:x val="0.35143978679530596"/>
          <c:y val="2.795678129587828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'Veden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kk.kulutus'!$D$4</c:f>
              <c:numCache>
                <c:formatCode>General</c:formatCode>
                <c:ptCount val="1"/>
                <c:pt idx="0">
                  <c:v>33000</c:v>
                </c:pt>
              </c:numCache>
            </c:numRef>
          </c:xVal>
          <c:yVal>
            <c:numRef>
              <c:f>'Veden kk.kulutus'!$B$4</c:f>
              <c:numCache>
                <c:formatCode>General</c:formatCode>
                <c:ptCount val="1"/>
                <c:pt idx="0">
                  <c:v>3800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'Veden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kk.kulutus'!$D$5</c:f>
              <c:numCache>
                <c:formatCode>General</c:formatCode>
                <c:ptCount val="1"/>
                <c:pt idx="0">
                  <c:v>32000</c:v>
                </c:pt>
              </c:numCache>
            </c:numRef>
          </c:xVal>
          <c:yVal>
            <c:numRef>
              <c:f>'Veden kk.kulutus'!$B$5</c:f>
              <c:numCache>
                <c:formatCode>General</c:formatCode>
                <c:ptCount val="1"/>
                <c:pt idx="0">
                  <c:v>3600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'Veden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kk.kulutus'!$D$6</c:f>
              <c:numCache>
                <c:formatCode>General</c:formatCode>
                <c:ptCount val="1"/>
                <c:pt idx="0">
                  <c:v>30000</c:v>
                </c:pt>
              </c:numCache>
            </c:numRef>
          </c:xVal>
          <c:yVal>
            <c:numRef>
              <c:f>'Veden kk.kulutus'!$B$6</c:f>
              <c:numCache>
                <c:formatCode>General</c:formatCode>
                <c:ptCount val="1"/>
                <c:pt idx="0">
                  <c:v>3500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'Veden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kk.kulutus'!$D$7</c:f>
              <c:numCache>
                <c:formatCode>General</c:formatCode>
                <c:ptCount val="1"/>
                <c:pt idx="0">
                  <c:v>29000</c:v>
                </c:pt>
              </c:numCache>
            </c:numRef>
          </c:xVal>
          <c:yVal>
            <c:numRef>
              <c:f>'Veden kk.kulutus'!$B$7</c:f>
              <c:numCache>
                <c:formatCode>General</c:formatCode>
                <c:ptCount val="1"/>
                <c:pt idx="0">
                  <c:v>2300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'Veden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kk.kulutus'!$D$8</c:f>
              <c:numCache>
                <c:formatCode>General</c:formatCode>
                <c:ptCount val="1"/>
                <c:pt idx="0">
                  <c:v>20000</c:v>
                </c:pt>
              </c:numCache>
            </c:numRef>
          </c:xVal>
          <c:yVal>
            <c:numRef>
              <c:f>'Veden kk.kulutus'!$B$8</c:f>
              <c:numCache>
                <c:formatCode>General</c:formatCode>
                <c:ptCount val="1"/>
                <c:pt idx="0">
                  <c:v>2000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'Veden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kk.kulutus'!$D$9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xVal>
          <c:yVal>
            <c:numRef>
              <c:f>'Veden kk.kulutus'!$B$9</c:f>
              <c:numCache>
                <c:formatCode>General</c:formatCode>
                <c:ptCount val="1"/>
                <c:pt idx="0">
                  <c:v>1500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'Veden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kk.kulutus'!$D$10</c:f>
              <c:numCache>
                <c:formatCode>General</c:formatCode>
                <c:ptCount val="1"/>
                <c:pt idx="0">
                  <c:v>10000</c:v>
                </c:pt>
              </c:numCache>
            </c:numRef>
          </c:xVal>
          <c:yVal>
            <c:numRef>
              <c:f>'Veden kk.kulutus'!$B$10</c:f>
              <c:numCache>
                <c:formatCode>General</c:formatCode>
                <c:ptCount val="1"/>
                <c:pt idx="0">
                  <c:v>1400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'Veden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kk.kulutus'!$D$11</c:f>
              <c:numCache>
                <c:formatCode>General</c:formatCode>
                <c:ptCount val="1"/>
                <c:pt idx="0">
                  <c:v>15000</c:v>
                </c:pt>
              </c:numCache>
            </c:numRef>
          </c:xVal>
          <c:yVal>
            <c:numRef>
              <c:f>'Veden kk.kulutus'!$B$11</c:f>
              <c:numCache>
                <c:formatCode>General</c:formatCode>
                <c:ptCount val="1"/>
                <c:pt idx="0">
                  <c:v>2000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'Veden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kk.kulutus'!$D$12</c:f>
              <c:numCache>
                <c:formatCode>General</c:formatCode>
                <c:ptCount val="1"/>
                <c:pt idx="0">
                  <c:v>25000</c:v>
                </c:pt>
              </c:numCache>
            </c:numRef>
          </c:xVal>
          <c:yVal>
            <c:numRef>
              <c:f>'Veden kk.kulutus'!$B$12</c:f>
              <c:numCache>
                <c:formatCode>General</c:formatCode>
                <c:ptCount val="1"/>
                <c:pt idx="0">
                  <c:v>2500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'Veden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5609576708838829E-3"/>
                  <c:y val="4.656141007747469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kk.kulutus'!$D$13</c:f>
              <c:numCache>
                <c:formatCode>General</c:formatCode>
                <c:ptCount val="1"/>
                <c:pt idx="0">
                  <c:v>28000</c:v>
                </c:pt>
              </c:numCache>
            </c:numRef>
          </c:xVal>
          <c:yVal>
            <c:numRef>
              <c:f>'Veden kk.kulutus'!$B$13</c:f>
              <c:numCache>
                <c:formatCode>General</c:formatCode>
                <c:ptCount val="1"/>
                <c:pt idx="0">
                  <c:v>3100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'Veden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kk.kulutus'!$D$14</c:f>
              <c:numCache>
                <c:formatCode>General</c:formatCode>
                <c:ptCount val="1"/>
                <c:pt idx="0">
                  <c:v>30000</c:v>
                </c:pt>
              </c:numCache>
            </c:numRef>
          </c:xVal>
          <c:yVal>
            <c:numRef>
              <c:f>'Veden kk.kulutus'!$B$14</c:f>
              <c:numCache>
                <c:formatCode>General</c:formatCode>
                <c:ptCount val="1"/>
                <c:pt idx="0">
                  <c:v>3000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'Veden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kk.kulutus'!$D$15</c:f>
              <c:numCache>
                <c:formatCode>General</c:formatCode>
                <c:ptCount val="1"/>
                <c:pt idx="0">
                  <c:v>32000</c:v>
                </c:pt>
              </c:numCache>
            </c:numRef>
          </c:xVal>
          <c:yVal>
            <c:numRef>
              <c:f>'Veden kk.kulutus'!$B$15</c:f>
              <c:numCache>
                <c:formatCode>General</c:formatCode>
                <c:ptCount val="1"/>
                <c:pt idx="0">
                  <c:v>3200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'Veden kk.kulutus'!$M$3</c:f>
              <c:strCache>
                <c:ptCount val="1"/>
                <c:pt idx="0">
                  <c:v>Kulutuksen suhde kävijämääriin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'Veden kk.kulutus'!$L$5:$L$6</c:f>
              <c:numCache>
                <c:formatCode>General</c:formatCode>
                <c:ptCount val="2"/>
                <c:pt idx="0">
                  <c:v>8000</c:v>
                </c:pt>
                <c:pt idx="1">
                  <c:v>35000</c:v>
                </c:pt>
              </c:numCache>
            </c:numRef>
          </c:xVal>
          <c:yVal>
            <c:numRef>
              <c:f>'Veden kk.kulutus'!$M$5:$M$6</c:f>
              <c:numCache>
                <c:formatCode>General</c:formatCode>
                <c:ptCount val="2"/>
                <c:pt idx="0">
                  <c:v>979.0246460409021</c:v>
                </c:pt>
                <c:pt idx="1">
                  <c:v>3620.2674357629785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526640"/>
        <c:axId val="428527032"/>
      </c:scatterChart>
      <c:valAx>
        <c:axId val="428526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Kävijämäärä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8527032"/>
        <c:crosses val="autoZero"/>
        <c:crossBetween val="midCat"/>
      </c:valAx>
      <c:valAx>
        <c:axId val="428527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Veden kulutus [m3]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8526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95250</xdr:rowOff>
    </xdr:from>
    <xdr:to>
      <xdr:col>11</xdr:col>
      <xdr:colOff>390525</xdr:colOff>
      <xdr:row>34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152401</xdr:colOff>
      <xdr:row>35</xdr:row>
      <xdr:rowOff>7845</xdr:rowOff>
    </xdr:from>
    <xdr:to>
      <xdr:col>11</xdr:col>
      <xdr:colOff>438150</xdr:colOff>
      <xdr:row>57</xdr:row>
      <xdr:rowOff>152401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17</xdr:row>
      <xdr:rowOff>152401</xdr:rowOff>
    </xdr:from>
    <xdr:to>
      <xdr:col>11</xdr:col>
      <xdr:colOff>504825</xdr:colOff>
      <xdr:row>35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142876</xdr:colOff>
      <xdr:row>36</xdr:row>
      <xdr:rowOff>26894</xdr:rowOff>
    </xdr:from>
    <xdr:to>
      <xdr:col>11</xdr:col>
      <xdr:colOff>514350</xdr:colOff>
      <xdr:row>58</xdr:row>
      <xdr:rowOff>161925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347381</xdr:colOff>
      <xdr:row>17</xdr:row>
      <xdr:rowOff>89647</xdr:rowOff>
    </xdr:from>
    <xdr:to>
      <xdr:col>10</xdr:col>
      <xdr:colOff>0</xdr:colOff>
      <xdr:row>39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40</xdr:row>
      <xdr:rowOff>119342</xdr:rowOff>
    </xdr:from>
    <xdr:to>
      <xdr:col>9</xdr:col>
      <xdr:colOff>1485900</xdr:colOff>
      <xdr:row>62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3"/>
  <sheetViews>
    <sheetView tabSelected="1" zoomScaleNormal="100" workbookViewId="0">
      <selection activeCell="A3" sqref="A3"/>
    </sheetView>
  </sheetViews>
  <sheetFormatPr defaultRowHeight="15" x14ac:dyDescent="0.25"/>
  <cols>
    <col min="1" max="1" width="11.140625" customWidth="1"/>
    <col min="2" max="2" width="17.85546875" customWidth="1"/>
    <col min="3" max="3" width="14.5703125" hidden="1" customWidth="1"/>
    <col min="4" max="4" width="12.5703125" hidden="1" customWidth="1"/>
    <col min="5" max="5" width="24.28515625" customWidth="1"/>
    <col min="6" max="7" width="15.140625" customWidth="1"/>
    <col min="8" max="8" width="14.28515625" customWidth="1"/>
    <col min="9" max="9" width="15.85546875" customWidth="1"/>
    <col min="10" max="10" width="14" customWidth="1"/>
    <col min="13" max="13" width="22.5703125" customWidth="1"/>
    <col min="14" max="14" width="16.140625" customWidth="1"/>
    <col min="16" max="16" width="21.42578125" customWidth="1"/>
  </cols>
  <sheetData>
    <row r="1" spans="1:16" ht="21.75" customHeight="1" x14ac:dyDescent="0.35">
      <c r="A1" s="20" t="s">
        <v>40</v>
      </c>
    </row>
    <row r="2" spans="1:16" ht="29.25" customHeight="1" x14ac:dyDescent="0.3">
      <c r="A2" s="19" t="s">
        <v>32</v>
      </c>
    </row>
    <row r="3" spans="1:16" ht="63.75" customHeight="1" x14ac:dyDescent="0.35">
      <c r="A3" s="7">
        <v>2015</v>
      </c>
      <c r="B3" s="17" t="s">
        <v>12</v>
      </c>
      <c r="C3" s="17" t="s">
        <v>14</v>
      </c>
      <c r="D3" s="17" t="s">
        <v>13</v>
      </c>
      <c r="E3" s="17" t="s">
        <v>15</v>
      </c>
      <c r="F3" s="17" t="s">
        <v>16</v>
      </c>
      <c r="G3" s="17" t="s">
        <v>23</v>
      </c>
      <c r="H3" s="17" t="s">
        <v>17</v>
      </c>
      <c r="I3" s="17" t="s">
        <v>18</v>
      </c>
      <c r="J3" s="17" t="s">
        <v>56</v>
      </c>
      <c r="L3" s="25" t="s">
        <v>28</v>
      </c>
      <c r="M3" s="25" t="s">
        <v>33</v>
      </c>
      <c r="O3" s="17" t="s">
        <v>28</v>
      </c>
      <c r="P3" s="26" t="s">
        <v>29</v>
      </c>
    </row>
    <row r="4" spans="1:16" x14ac:dyDescent="0.25">
      <c r="A4" s="1" t="s">
        <v>0</v>
      </c>
      <c r="B4" s="10">
        <v>390</v>
      </c>
      <c r="C4" s="11">
        <v>31</v>
      </c>
      <c r="D4" s="11">
        <f>C4*24</f>
        <v>744</v>
      </c>
      <c r="E4" s="12">
        <f>IF(B4&gt;0,B4/D4*1000,NA())</f>
        <v>524.19354838709671</v>
      </c>
      <c r="F4" s="10">
        <v>-2</v>
      </c>
      <c r="G4" s="10">
        <v>33000</v>
      </c>
      <c r="H4" s="13">
        <v>28</v>
      </c>
      <c r="I4" s="14">
        <f>IF(B4&gt;0,H4-F4,NA())</f>
        <v>30</v>
      </c>
      <c r="J4" s="8">
        <f>B4*1000/G4</f>
        <v>11.818181818181818</v>
      </c>
      <c r="L4" s="48" t="s">
        <v>34</v>
      </c>
      <c r="M4" s="48"/>
      <c r="O4" s="48" t="s">
        <v>34</v>
      </c>
      <c r="P4" s="48"/>
    </row>
    <row r="5" spans="1:16" x14ac:dyDescent="0.25">
      <c r="A5" s="1" t="s">
        <v>1</v>
      </c>
      <c r="B5" s="10">
        <v>300</v>
      </c>
      <c r="C5" s="11">
        <v>28</v>
      </c>
      <c r="D5" s="11">
        <f t="shared" ref="D5:D15" si="0">C5*24</f>
        <v>672</v>
      </c>
      <c r="E5" s="12">
        <f t="shared" ref="E5:E15" si="1">IF(B5&gt;0,B5/D5*1000,NA())</f>
        <v>446.42857142857144</v>
      </c>
      <c r="F5" s="10">
        <v>0</v>
      </c>
      <c r="G5" s="10">
        <v>32000</v>
      </c>
      <c r="H5" s="13">
        <v>28</v>
      </c>
      <c r="I5" s="14">
        <f t="shared" ref="I5:I15" si="2">IF(B5&gt;0,H5-F5,NA())</f>
        <v>28</v>
      </c>
      <c r="J5" s="8">
        <f t="shared" ref="J5:J15" si="3">B5*1000/G5</f>
        <v>9.375</v>
      </c>
      <c r="L5" s="23">
        <f>MIN(I4:I15)-5</f>
        <v>4</v>
      </c>
      <c r="M5" s="24">
        <f>L5*M8+M9</f>
        <v>131.7520661856031</v>
      </c>
      <c r="O5" s="23">
        <f>MIN(G4:G15)-2000</f>
        <v>8000</v>
      </c>
      <c r="P5" s="23">
        <f>O5*P8+P9</f>
        <v>156.06158731232733</v>
      </c>
    </row>
    <row r="6" spans="1:16" x14ac:dyDescent="0.25">
      <c r="A6" s="1" t="s">
        <v>2</v>
      </c>
      <c r="B6" s="10">
        <v>280</v>
      </c>
      <c r="C6" s="11">
        <v>31</v>
      </c>
      <c r="D6" s="11">
        <f t="shared" si="0"/>
        <v>744</v>
      </c>
      <c r="E6" s="12">
        <f t="shared" si="1"/>
        <v>376.34408602150535</v>
      </c>
      <c r="F6" s="10">
        <v>1</v>
      </c>
      <c r="G6" s="10">
        <v>30000</v>
      </c>
      <c r="H6" s="13">
        <v>28</v>
      </c>
      <c r="I6" s="14">
        <f t="shared" si="2"/>
        <v>27</v>
      </c>
      <c r="J6" s="8">
        <f t="shared" si="3"/>
        <v>9.3333333333333339</v>
      </c>
      <c r="L6" s="23">
        <f>MAX(I4:I15)+5</f>
        <v>35</v>
      </c>
      <c r="M6" s="24">
        <f>L6*M8+M9</f>
        <v>515.37936293234065</v>
      </c>
      <c r="O6" s="23">
        <f>MAX(G4:G15)+2000</f>
        <v>35000</v>
      </c>
      <c r="P6" s="23">
        <f>O6*P8+P9</f>
        <v>453.576170982966</v>
      </c>
    </row>
    <row r="7" spans="1:16" x14ac:dyDescent="0.25">
      <c r="A7" s="1" t="s">
        <v>3</v>
      </c>
      <c r="B7" s="10">
        <v>200</v>
      </c>
      <c r="C7" s="11">
        <v>30</v>
      </c>
      <c r="D7" s="11">
        <f t="shared" si="0"/>
        <v>720</v>
      </c>
      <c r="E7" s="12">
        <f t="shared" si="1"/>
        <v>277.77777777777777</v>
      </c>
      <c r="F7" s="10">
        <v>5</v>
      </c>
      <c r="G7" s="10">
        <v>29000</v>
      </c>
      <c r="H7" s="13">
        <v>28</v>
      </c>
      <c r="I7" s="14">
        <f t="shared" si="2"/>
        <v>23</v>
      </c>
      <c r="J7" s="8">
        <f t="shared" si="3"/>
        <v>6.8965517241379306</v>
      </c>
      <c r="L7" s="49" t="s">
        <v>35</v>
      </c>
      <c r="M7" s="50"/>
      <c r="O7" s="49" t="s">
        <v>35</v>
      </c>
      <c r="P7" s="50"/>
    </row>
    <row r="8" spans="1:16" x14ac:dyDescent="0.25">
      <c r="A8" s="1" t="s">
        <v>4</v>
      </c>
      <c r="B8" s="10">
        <v>200</v>
      </c>
      <c r="C8" s="11">
        <v>31</v>
      </c>
      <c r="D8" s="11">
        <f t="shared" si="0"/>
        <v>744</v>
      </c>
      <c r="E8" s="12">
        <f t="shared" si="1"/>
        <v>268.81720430107526</v>
      </c>
      <c r="F8" s="10">
        <v>10</v>
      </c>
      <c r="G8" s="10">
        <v>20000</v>
      </c>
      <c r="H8" s="13">
        <v>28</v>
      </c>
      <c r="I8" s="14">
        <f t="shared" si="2"/>
        <v>18</v>
      </c>
      <c r="J8" s="8">
        <f t="shared" si="3"/>
        <v>10</v>
      </c>
      <c r="L8" s="21" t="s">
        <v>30</v>
      </c>
      <c r="M8" s="22">
        <f>IFERROR(INDEX(LINEST(E4:E15,I4:I15,TRUE,FALSE),1),"k -arvoa ei voitu laskea")</f>
        <v>12.375074088604439</v>
      </c>
      <c r="O8" s="21" t="s">
        <v>30</v>
      </c>
      <c r="P8" s="32">
        <f>IFERROR(INDEX(LINEST(E4:E15,G4:G15,TRUE,FALSE),1),"k -arvoa ei voitu laskea")</f>
        <v>1.1019058654468098E-2</v>
      </c>
    </row>
    <row r="9" spans="1:16" x14ac:dyDescent="0.25">
      <c r="A9" s="1" t="s">
        <v>5</v>
      </c>
      <c r="B9" s="10">
        <v>200</v>
      </c>
      <c r="C9" s="11">
        <v>30</v>
      </c>
      <c r="D9" s="11">
        <f t="shared" si="0"/>
        <v>720</v>
      </c>
      <c r="E9" s="12">
        <f t="shared" si="1"/>
        <v>277.77777777777777</v>
      </c>
      <c r="F9" s="10">
        <v>13</v>
      </c>
      <c r="G9" s="10">
        <v>18000</v>
      </c>
      <c r="H9" s="13">
        <v>28</v>
      </c>
      <c r="I9" s="14">
        <f t="shared" si="2"/>
        <v>15</v>
      </c>
      <c r="J9" s="8">
        <f t="shared" si="3"/>
        <v>11.111111111111111</v>
      </c>
      <c r="L9" s="21" t="s">
        <v>31</v>
      </c>
      <c r="M9" s="22">
        <f>IFERROR(INDEX(LINEST(E4:E15,I4:I15,TRUE,FALSE),2),"b -arvoa ei voitu laskea")</f>
        <v>82.251769831185356</v>
      </c>
      <c r="O9" s="21" t="s">
        <v>31</v>
      </c>
      <c r="P9" s="22">
        <f>IFERROR(INDEX(LINEST(E4:E15,G4:G15,TRUE,FALSE),2),"b -arvoa ei voitu laskea")</f>
        <v>67.909118076582558</v>
      </c>
    </row>
    <row r="10" spans="1:16" x14ac:dyDescent="0.25">
      <c r="A10" s="1" t="s">
        <v>6</v>
      </c>
      <c r="B10" s="10">
        <v>150</v>
      </c>
      <c r="C10" s="11">
        <v>31</v>
      </c>
      <c r="D10" s="11">
        <f t="shared" si="0"/>
        <v>744</v>
      </c>
      <c r="E10" s="12">
        <f t="shared" si="1"/>
        <v>201.61290322580643</v>
      </c>
      <c r="F10" s="10">
        <v>19</v>
      </c>
      <c r="G10" s="10">
        <v>10000</v>
      </c>
      <c r="H10" s="13">
        <v>28</v>
      </c>
      <c r="I10" s="14">
        <f t="shared" si="2"/>
        <v>9</v>
      </c>
      <c r="J10" s="8">
        <f t="shared" si="3"/>
        <v>15</v>
      </c>
      <c r="L10" s="42" t="s">
        <v>36</v>
      </c>
      <c r="M10" s="43"/>
      <c r="O10" s="44" t="s">
        <v>36</v>
      </c>
      <c r="P10" s="45"/>
    </row>
    <row r="11" spans="1:16" x14ac:dyDescent="0.25">
      <c r="A11" s="1" t="s">
        <v>7</v>
      </c>
      <c r="B11" s="10">
        <v>200</v>
      </c>
      <c r="C11" s="11">
        <v>31</v>
      </c>
      <c r="D11" s="11">
        <f t="shared" si="0"/>
        <v>744</v>
      </c>
      <c r="E11" s="12">
        <f t="shared" si="1"/>
        <v>268.81720430107526</v>
      </c>
      <c r="F11" s="10">
        <v>17</v>
      </c>
      <c r="G11" s="10">
        <v>15000</v>
      </c>
      <c r="H11" s="13">
        <v>28</v>
      </c>
      <c r="I11" s="14">
        <f t="shared" si="2"/>
        <v>11</v>
      </c>
      <c r="J11" s="8">
        <f t="shared" si="3"/>
        <v>13.333333333333334</v>
      </c>
      <c r="L11" s="46" t="str">
        <f>IF(M8="k -arvoa ei voitu laskea","Suoran yhtälöä ei voitu laskea",IF(M9&lt;0,"Y="&amp;TEXT(M8,"0,00")&amp;"X"&amp;TEXT(M9,"0,00"),"Y="&amp;TEXT(M8,"0,00")&amp;"X+"&amp;TEXT(M9,"0,00")))</f>
        <v>Y=12,38X+82,25</v>
      </c>
      <c r="M11" s="47"/>
      <c r="O11" s="51" t="str">
        <f>IF(P8="k -arvoa ei voitu laskea","Suoran yhtälöä ei voitu laskea",IF(P9&lt;0,"Y="&amp;TEXT(P8,"0,000")&amp;"X"&amp;TEXT(P9,"0,00"),"Y="&amp;TEXT(P8,"0,000")&amp;"X+"&amp;TEXT(P9,"0,00")))</f>
        <v>Y=0,011X+67,91</v>
      </c>
      <c r="P11" s="52"/>
    </row>
    <row r="12" spans="1:16" x14ac:dyDescent="0.25">
      <c r="A12" s="1" t="s">
        <v>8</v>
      </c>
      <c r="B12" s="10">
        <v>200</v>
      </c>
      <c r="C12" s="11">
        <v>30</v>
      </c>
      <c r="D12" s="11">
        <f t="shared" si="0"/>
        <v>720</v>
      </c>
      <c r="E12" s="12">
        <f t="shared" si="1"/>
        <v>277.77777777777777</v>
      </c>
      <c r="F12" s="10">
        <v>12</v>
      </c>
      <c r="G12" s="10">
        <v>25000</v>
      </c>
      <c r="H12" s="13">
        <v>28</v>
      </c>
      <c r="I12" s="14">
        <f t="shared" si="2"/>
        <v>16</v>
      </c>
      <c r="J12" s="8">
        <f t="shared" si="3"/>
        <v>8</v>
      </c>
      <c r="N12" s="18"/>
    </row>
    <row r="13" spans="1:16" x14ac:dyDescent="0.25">
      <c r="A13" s="1" t="s">
        <v>9</v>
      </c>
      <c r="B13" s="10">
        <v>250</v>
      </c>
      <c r="C13" s="11">
        <v>31</v>
      </c>
      <c r="D13" s="11">
        <f t="shared" si="0"/>
        <v>744</v>
      </c>
      <c r="E13" s="12">
        <f t="shared" si="1"/>
        <v>336.02150537634407</v>
      </c>
      <c r="F13" s="10">
        <v>6</v>
      </c>
      <c r="G13" s="10">
        <v>28000</v>
      </c>
      <c r="H13" s="13">
        <v>28</v>
      </c>
      <c r="I13" s="14">
        <f t="shared" si="2"/>
        <v>22</v>
      </c>
      <c r="J13" s="8">
        <f t="shared" si="3"/>
        <v>8.9285714285714288</v>
      </c>
    </row>
    <row r="14" spans="1:16" x14ac:dyDescent="0.25">
      <c r="A14" s="1" t="s">
        <v>10</v>
      </c>
      <c r="B14" s="10">
        <v>300</v>
      </c>
      <c r="C14" s="11">
        <v>30</v>
      </c>
      <c r="D14" s="11">
        <f t="shared" si="0"/>
        <v>720</v>
      </c>
      <c r="E14" s="12">
        <f t="shared" si="1"/>
        <v>416.66666666666669</v>
      </c>
      <c r="F14" s="10">
        <v>2</v>
      </c>
      <c r="G14" s="10">
        <v>30000</v>
      </c>
      <c r="H14" s="13">
        <v>28</v>
      </c>
      <c r="I14" s="14">
        <f t="shared" si="2"/>
        <v>26</v>
      </c>
      <c r="J14" s="8">
        <f t="shared" si="3"/>
        <v>10</v>
      </c>
    </row>
    <row r="15" spans="1:16" x14ac:dyDescent="0.25">
      <c r="A15" s="1" t="s">
        <v>11</v>
      </c>
      <c r="B15" s="10">
        <v>350</v>
      </c>
      <c r="C15" s="11">
        <v>31</v>
      </c>
      <c r="D15" s="11">
        <f t="shared" si="0"/>
        <v>744</v>
      </c>
      <c r="E15" s="12">
        <f t="shared" si="1"/>
        <v>470.43010752688173</v>
      </c>
      <c r="F15" s="10">
        <v>-2</v>
      </c>
      <c r="G15" s="10">
        <v>32000</v>
      </c>
      <c r="H15" s="13">
        <v>28</v>
      </c>
      <c r="I15" s="14">
        <f t="shared" si="2"/>
        <v>30</v>
      </c>
      <c r="J15" s="8">
        <f t="shared" si="3"/>
        <v>10.9375</v>
      </c>
    </row>
    <row r="16" spans="1:16" x14ac:dyDescent="0.25">
      <c r="A16" s="6" t="s">
        <v>19</v>
      </c>
      <c r="B16" s="15">
        <f>SUM(B4:B15)</f>
        <v>3020</v>
      </c>
      <c r="C16" s="2"/>
      <c r="D16" s="2"/>
      <c r="E16" s="4" t="s">
        <v>20</v>
      </c>
      <c r="F16" s="2"/>
      <c r="G16" s="16">
        <f>SUM(G4:G15)</f>
        <v>302000</v>
      </c>
      <c r="H16" s="4" t="s">
        <v>24</v>
      </c>
      <c r="I16" s="2"/>
      <c r="J16" s="9">
        <f>AVERAGE(J4:J15)</f>
        <v>10.394465229055745</v>
      </c>
      <c r="K16" s="5" t="s">
        <v>26</v>
      </c>
    </row>
    <row r="17" spans="2:15" ht="15.75" x14ac:dyDescent="0.25">
      <c r="B17" s="3" t="s">
        <v>27</v>
      </c>
      <c r="M17" s="4" t="s">
        <v>42</v>
      </c>
      <c r="N17" s="2"/>
      <c r="O17" s="2"/>
    </row>
    <row r="18" spans="2:15" ht="30" x14ac:dyDescent="0.25">
      <c r="M18" s="34" t="s">
        <v>49</v>
      </c>
      <c r="N18" s="2">
        <f>B16</f>
        <v>3020</v>
      </c>
      <c r="O18" s="2" t="s">
        <v>50</v>
      </c>
    </row>
    <row r="19" spans="2:15" ht="30" x14ac:dyDescent="0.25">
      <c r="M19" s="34" t="s">
        <v>43</v>
      </c>
      <c r="N19" s="35">
        <f>J16</f>
        <v>10.394465229055745</v>
      </c>
      <c r="O19" s="2" t="s">
        <v>57</v>
      </c>
    </row>
    <row r="20" spans="2:15" ht="60" x14ac:dyDescent="0.25">
      <c r="M20" s="34" t="s">
        <v>45</v>
      </c>
      <c r="N20" s="41" t="str">
        <f>L11</f>
        <v>Y=12,38X+82,25</v>
      </c>
      <c r="O20" s="2"/>
    </row>
    <row r="21" spans="2:15" ht="30" x14ac:dyDescent="0.25">
      <c r="M21" s="34" t="s">
        <v>46</v>
      </c>
      <c r="N21" s="36">
        <f>M9</f>
        <v>82.251769831185356</v>
      </c>
      <c r="O21" s="2" t="s">
        <v>47</v>
      </c>
    </row>
    <row r="22" spans="2:15" ht="45" x14ac:dyDescent="0.25">
      <c r="M22" s="34" t="s">
        <v>48</v>
      </c>
      <c r="N22" s="36">
        <f>M8</f>
        <v>12.375074088604439</v>
      </c>
      <c r="O22" s="2"/>
    </row>
    <row r="23" spans="2:15" x14ac:dyDescent="0.25">
      <c r="M23" s="40" t="str">
        <f>IF(COUNT(B4:B15)=12," ","Kaikkien kuukausien tietoja ei ole syötetty.")</f>
        <v xml:space="preserve"> </v>
      </c>
    </row>
  </sheetData>
  <mergeCells count="8">
    <mergeCell ref="L10:M10"/>
    <mergeCell ref="O10:P10"/>
    <mergeCell ref="L11:M11"/>
    <mergeCell ref="L4:M4"/>
    <mergeCell ref="L7:M7"/>
    <mergeCell ref="O4:P4"/>
    <mergeCell ref="O7:P7"/>
    <mergeCell ref="O11:P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zoomScaleNormal="100" workbookViewId="0">
      <selection activeCell="J4" sqref="J4"/>
    </sheetView>
  </sheetViews>
  <sheetFormatPr defaultRowHeight="15" x14ac:dyDescent="0.25"/>
  <cols>
    <col min="1" max="1" width="11.140625" customWidth="1"/>
    <col min="2" max="2" width="17.85546875" customWidth="1"/>
    <col min="3" max="3" width="14.5703125" hidden="1" customWidth="1"/>
    <col min="4" max="4" width="12.5703125" hidden="1" customWidth="1"/>
    <col min="5" max="5" width="24.28515625" customWidth="1"/>
    <col min="6" max="7" width="15.140625" customWidth="1"/>
    <col min="8" max="8" width="14.28515625" customWidth="1"/>
    <col min="9" max="9" width="15.85546875" customWidth="1"/>
    <col min="10" max="10" width="14" customWidth="1"/>
    <col min="13" max="13" width="22.85546875" customWidth="1"/>
    <col min="14" max="14" width="9.7109375" customWidth="1"/>
    <col min="16" max="16" width="21.42578125" customWidth="1"/>
  </cols>
  <sheetData>
    <row r="1" spans="1:16" ht="21.75" customHeight="1" x14ac:dyDescent="0.35">
      <c r="A1" s="20" t="s">
        <v>41</v>
      </c>
    </row>
    <row r="2" spans="1:16" ht="29.25" customHeight="1" x14ac:dyDescent="0.3">
      <c r="A2" s="19" t="s">
        <v>32</v>
      </c>
    </row>
    <row r="3" spans="1:16" ht="63.75" customHeight="1" x14ac:dyDescent="0.35">
      <c r="A3" s="7">
        <v>2015</v>
      </c>
      <c r="B3" s="17" t="s">
        <v>21</v>
      </c>
      <c r="C3" s="17" t="s">
        <v>14</v>
      </c>
      <c r="D3" s="17" t="s">
        <v>13</v>
      </c>
      <c r="E3" s="17" t="s">
        <v>22</v>
      </c>
      <c r="F3" s="17" t="s">
        <v>16</v>
      </c>
      <c r="G3" s="17" t="s">
        <v>23</v>
      </c>
      <c r="H3" s="17" t="s">
        <v>17</v>
      </c>
      <c r="I3" s="17" t="s">
        <v>18</v>
      </c>
      <c r="J3" s="17" t="s">
        <v>58</v>
      </c>
      <c r="L3" s="25" t="s">
        <v>28</v>
      </c>
      <c r="M3" s="25" t="s">
        <v>33</v>
      </c>
      <c r="O3" s="17" t="s">
        <v>28</v>
      </c>
      <c r="P3" s="26" t="s">
        <v>29</v>
      </c>
    </row>
    <row r="4" spans="1:16" x14ac:dyDescent="0.25">
      <c r="A4" s="1" t="s">
        <v>0</v>
      </c>
      <c r="B4" s="27">
        <v>135</v>
      </c>
      <c r="C4" s="11">
        <v>31</v>
      </c>
      <c r="D4" s="11">
        <f>C4*24</f>
        <v>744</v>
      </c>
      <c r="E4" s="28">
        <f>IF(B4&gt;0,B4/D4*1000,NA())</f>
        <v>181.45161290322582</v>
      </c>
      <c r="F4" s="29">
        <f>'Kaukolämmön kk.kulutus'!F4</f>
        <v>-2</v>
      </c>
      <c r="G4" s="29">
        <f>'Kaukolämmön kk.kulutus'!G4</f>
        <v>33000</v>
      </c>
      <c r="H4" s="29">
        <f>'Kaukolämmön kk.kulutus'!H4</f>
        <v>28</v>
      </c>
      <c r="I4" s="29">
        <f>IF(B4&gt;0,H4-F4,NA())</f>
        <v>30</v>
      </c>
      <c r="J4" s="30">
        <f>B4/G4*1000</f>
        <v>4.0909090909090908</v>
      </c>
      <c r="L4" s="48" t="s">
        <v>34</v>
      </c>
      <c r="M4" s="48"/>
      <c r="O4" s="48" t="s">
        <v>34</v>
      </c>
      <c r="P4" s="48"/>
    </row>
    <row r="5" spans="1:16" x14ac:dyDescent="0.25">
      <c r="A5" s="1" t="s">
        <v>1</v>
      </c>
      <c r="B5" s="27">
        <v>130</v>
      </c>
      <c r="C5" s="11">
        <v>28</v>
      </c>
      <c r="D5" s="11">
        <f t="shared" ref="D5:D15" si="0">C5*24</f>
        <v>672</v>
      </c>
      <c r="E5" s="28">
        <f t="shared" ref="E5:E15" si="1">IF(B5&gt;0,B5/D5*1000,NA())</f>
        <v>193.45238095238096</v>
      </c>
      <c r="F5" s="29">
        <f>'Kaukolämmön kk.kulutus'!F5</f>
        <v>0</v>
      </c>
      <c r="G5" s="29">
        <f>'Kaukolämmön kk.kulutus'!G5</f>
        <v>32000</v>
      </c>
      <c r="H5" s="29">
        <f>'Kaukolämmön kk.kulutus'!H5</f>
        <v>28</v>
      </c>
      <c r="I5" s="29">
        <f t="shared" ref="I5:I15" si="2">IF(B5&gt;0,H5-F5,NA())</f>
        <v>28</v>
      </c>
      <c r="J5" s="30">
        <f t="shared" ref="J5:J15" si="3">B5/G5*1000</f>
        <v>4.0625</v>
      </c>
      <c r="L5" s="23">
        <f>MIN(I4:I15)-5</f>
        <v>4</v>
      </c>
      <c r="M5" s="24">
        <f>L5*M8+M9</f>
        <v>98.367938919543604</v>
      </c>
      <c r="O5" s="23">
        <f>MIN(G4:G15)-2000</f>
        <v>8000</v>
      </c>
      <c r="P5" s="23">
        <f>O5*P8+P9</f>
        <v>96.812043899493332</v>
      </c>
    </row>
    <row r="6" spans="1:16" x14ac:dyDescent="0.25">
      <c r="A6" s="1" t="s">
        <v>2</v>
      </c>
      <c r="B6" s="27">
        <v>125</v>
      </c>
      <c r="C6" s="11">
        <v>31</v>
      </c>
      <c r="D6" s="11">
        <f t="shared" si="0"/>
        <v>744</v>
      </c>
      <c r="E6" s="28">
        <f t="shared" si="1"/>
        <v>168.01075268817203</v>
      </c>
      <c r="F6" s="29">
        <f>'Kaukolämmön kk.kulutus'!F6</f>
        <v>1</v>
      </c>
      <c r="G6" s="29">
        <f>'Kaukolämmön kk.kulutus'!G6</f>
        <v>30000</v>
      </c>
      <c r="H6" s="29">
        <f>'Kaukolämmön kk.kulutus'!H6</f>
        <v>28</v>
      </c>
      <c r="I6" s="29">
        <f t="shared" si="2"/>
        <v>27</v>
      </c>
      <c r="J6" s="30">
        <f t="shared" si="3"/>
        <v>4.166666666666667</v>
      </c>
      <c r="L6" s="23">
        <f>MAX(I4:I15)+5</f>
        <v>35</v>
      </c>
      <c r="M6" s="24">
        <f>L6*M8+M9</f>
        <v>201.2328636554976</v>
      </c>
      <c r="O6" s="23">
        <f>MAX(G4:G15)+2000</f>
        <v>35000</v>
      </c>
      <c r="P6" s="23">
        <f>O6*P8+P9</f>
        <v>189.28612375082932</v>
      </c>
    </row>
    <row r="7" spans="1:16" x14ac:dyDescent="0.25">
      <c r="A7" s="1" t="s">
        <v>3</v>
      </c>
      <c r="B7" s="27">
        <v>110</v>
      </c>
      <c r="C7" s="11">
        <v>30</v>
      </c>
      <c r="D7" s="11">
        <f t="shared" si="0"/>
        <v>720</v>
      </c>
      <c r="E7" s="28">
        <f t="shared" si="1"/>
        <v>152.7777777777778</v>
      </c>
      <c r="F7" s="29">
        <f>'Kaukolämmön kk.kulutus'!F7</f>
        <v>5</v>
      </c>
      <c r="G7" s="29">
        <f>'Kaukolämmön kk.kulutus'!G7</f>
        <v>29000</v>
      </c>
      <c r="H7" s="29">
        <f>'Kaukolämmön kk.kulutus'!H7</f>
        <v>28</v>
      </c>
      <c r="I7" s="29">
        <f t="shared" si="2"/>
        <v>23</v>
      </c>
      <c r="J7" s="30">
        <f t="shared" si="3"/>
        <v>3.7931034482758621</v>
      </c>
      <c r="L7" s="49" t="s">
        <v>35</v>
      </c>
      <c r="M7" s="50"/>
      <c r="O7" s="49" t="s">
        <v>35</v>
      </c>
      <c r="P7" s="50"/>
    </row>
    <row r="8" spans="1:16" x14ac:dyDescent="0.25">
      <c r="A8" s="1" t="s">
        <v>4</v>
      </c>
      <c r="B8" s="27">
        <v>105</v>
      </c>
      <c r="C8" s="11">
        <v>31</v>
      </c>
      <c r="D8" s="11">
        <f t="shared" si="0"/>
        <v>744</v>
      </c>
      <c r="E8" s="28">
        <f t="shared" si="1"/>
        <v>141.12903225806454</v>
      </c>
      <c r="F8" s="29">
        <f>'Kaukolämmön kk.kulutus'!F8</f>
        <v>10</v>
      </c>
      <c r="G8" s="29">
        <f>'Kaukolämmön kk.kulutus'!G8</f>
        <v>20000</v>
      </c>
      <c r="H8" s="29">
        <f>'Kaukolämmön kk.kulutus'!H8</f>
        <v>28</v>
      </c>
      <c r="I8" s="29">
        <f t="shared" si="2"/>
        <v>18</v>
      </c>
      <c r="J8" s="30">
        <f t="shared" si="3"/>
        <v>5.25</v>
      </c>
      <c r="L8" s="21" t="s">
        <v>30</v>
      </c>
      <c r="M8" s="22">
        <f>IFERROR(INDEX(LINEST(E4:E15,I4:I15,TRUE,FALSE),1),"k -arvoa ei voitu laskea")</f>
        <v>3.3182233785791611</v>
      </c>
      <c r="O8" s="21" t="s">
        <v>30</v>
      </c>
      <c r="P8" s="32">
        <f>IFERROR(INDEX(LINEST(E4:E15,G4:G15,TRUE,FALSE),1),"k -arvoa ei voitu laskea")</f>
        <v>3.4249659204198513E-3</v>
      </c>
    </row>
    <row r="9" spans="1:16" x14ac:dyDescent="0.25">
      <c r="A9" s="1" t="s">
        <v>5</v>
      </c>
      <c r="B9" s="27">
        <v>80</v>
      </c>
      <c r="C9" s="11">
        <v>30</v>
      </c>
      <c r="D9" s="11">
        <f t="shared" si="0"/>
        <v>720</v>
      </c>
      <c r="E9" s="28">
        <f t="shared" si="1"/>
        <v>111.1111111111111</v>
      </c>
      <c r="F9" s="29">
        <f>'Kaukolämmön kk.kulutus'!F9</f>
        <v>13</v>
      </c>
      <c r="G9" s="29">
        <f>'Kaukolämmön kk.kulutus'!G9</f>
        <v>18000</v>
      </c>
      <c r="H9" s="29">
        <f>'Kaukolämmön kk.kulutus'!H9</f>
        <v>28</v>
      </c>
      <c r="I9" s="29">
        <f t="shared" si="2"/>
        <v>15</v>
      </c>
      <c r="J9" s="30">
        <f t="shared" si="3"/>
        <v>4.4444444444444446</v>
      </c>
      <c r="L9" s="21" t="s">
        <v>31</v>
      </c>
      <c r="M9" s="22">
        <f>IFERROR(INDEX(LINEST(E4:E15,I4:I15,TRUE,FALSE),2),"b -arvoa ei voitu laskea")</f>
        <v>85.095045405226955</v>
      </c>
      <c r="O9" s="21" t="s">
        <v>31</v>
      </c>
      <c r="P9" s="22">
        <f>IFERROR(INDEX(LINEST(E4:E15,G4:G15,TRUE,FALSE),2),"b -arvoa ei voitu laskea")</f>
        <v>69.412316536134526</v>
      </c>
    </row>
    <row r="10" spans="1:16" x14ac:dyDescent="0.25">
      <c r="A10" s="1" t="s">
        <v>6</v>
      </c>
      <c r="B10" s="27">
        <v>70</v>
      </c>
      <c r="C10" s="11">
        <v>31</v>
      </c>
      <c r="D10" s="11">
        <f t="shared" si="0"/>
        <v>744</v>
      </c>
      <c r="E10" s="28">
        <f t="shared" si="1"/>
        <v>94.086021505376337</v>
      </c>
      <c r="F10" s="29">
        <f>'Kaukolämmön kk.kulutus'!F10</f>
        <v>19</v>
      </c>
      <c r="G10" s="29">
        <f>'Kaukolämmön kk.kulutus'!G10</f>
        <v>10000</v>
      </c>
      <c r="H10" s="29">
        <f>'Kaukolämmön kk.kulutus'!H10</f>
        <v>28</v>
      </c>
      <c r="I10" s="29">
        <f t="shared" si="2"/>
        <v>9</v>
      </c>
      <c r="J10" s="30">
        <f t="shared" si="3"/>
        <v>7</v>
      </c>
      <c r="L10" s="42" t="s">
        <v>36</v>
      </c>
      <c r="M10" s="43"/>
      <c r="O10" s="44" t="s">
        <v>36</v>
      </c>
      <c r="P10" s="45"/>
    </row>
    <row r="11" spans="1:16" x14ac:dyDescent="0.25">
      <c r="A11" s="1" t="s">
        <v>7</v>
      </c>
      <c r="B11" s="27">
        <v>110</v>
      </c>
      <c r="C11" s="11">
        <v>31</v>
      </c>
      <c r="D11" s="11">
        <f t="shared" si="0"/>
        <v>744</v>
      </c>
      <c r="E11" s="28">
        <f t="shared" si="1"/>
        <v>147.84946236559139</v>
      </c>
      <c r="F11" s="29">
        <f>'Kaukolämmön kk.kulutus'!F11</f>
        <v>17</v>
      </c>
      <c r="G11" s="29">
        <f>'Kaukolämmön kk.kulutus'!G11</f>
        <v>15000</v>
      </c>
      <c r="H11" s="29">
        <f>'Kaukolämmön kk.kulutus'!H11</f>
        <v>28</v>
      </c>
      <c r="I11" s="29">
        <f t="shared" si="2"/>
        <v>11</v>
      </c>
      <c r="J11" s="30">
        <f t="shared" si="3"/>
        <v>7.333333333333333</v>
      </c>
      <c r="L11" s="46" t="str">
        <f>IF(M8="k -arvoa ei voitu laskea","Suoran yhtälöä ei voitu laskea",IF(M9&lt;0,"Y="&amp;TEXT(M8,"0,00")&amp;"X"&amp;TEXT(M9,"0,00"),"Y="&amp;TEXT(M8,"0,00")&amp;"X+"&amp;TEXT(M9,"0,00")))</f>
        <v>Y=3,32X+85,10</v>
      </c>
      <c r="M11" s="47"/>
      <c r="O11" s="51" t="str">
        <f>IF(P8="k -arvoa ei voitu laskea","Suoran yhtälöä ei voitu laskea",IF(P9&lt;0,"Y="&amp;TEXT(P8,"0,000")&amp;"X"&amp;TEXT(P9,"0,00"),"Y="&amp;TEXT(P8,"0,000")&amp;"X+"&amp;TEXT(P9,"0,00")))</f>
        <v>Y=0,003X+69,41</v>
      </c>
      <c r="P11" s="52"/>
    </row>
    <row r="12" spans="1:16" x14ac:dyDescent="0.25">
      <c r="A12" s="1" t="s">
        <v>8</v>
      </c>
      <c r="B12" s="27">
        <v>115</v>
      </c>
      <c r="C12" s="11">
        <v>30</v>
      </c>
      <c r="D12" s="11">
        <f t="shared" si="0"/>
        <v>720</v>
      </c>
      <c r="E12" s="28">
        <f t="shared" si="1"/>
        <v>159.7222222222222</v>
      </c>
      <c r="F12" s="29">
        <f>'Kaukolämmön kk.kulutus'!F12</f>
        <v>12</v>
      </c>
      <c r="G12" s="29">
        <f>'Kaukolämmön kk.kulutus'!G12</f>
        <v>25000</v>
      </c>
      <c r="H12" s="29">
        <f>'Kaukolämmön kk.kulutus'!H12</f>
        <v>28</v>
      </c>
      <c r="I12" s="29">
        <f t="shared" si="2"/>
        <v>16</v>
      </c>
      <c r="J12" s="30">
        <f t="shared" si="3"/>
        <v>4.5999999999999996</v>
      </c>
      <c r="N12" s="18"/>
    </row>
    <row r="13" spans="1:16" x14ac:dyDescent="0.25">
      <c r="A13" s="1" t="s">
        <v>9</v>
      </c>
      <c r="B13" s="27">
        <v>125</v>
      </c>
      <c r="C13" s="11">
        <v>31</v>
      </c>
      <c r="D13" s="11">
        <f t="shared" si="0"/>
        <v>744</v>
      </c>
      <c r="E13" s="28">
        <f t="shared" si="1"/>
        <v>168.01075268817203</v>
      </c>
      <c r="F13" s="29">
        <f>'Kaukolämmön kk.kulutus'!F13</f>
        <v>6</v>
      </c>
      <c r="G13" s="29">
        <f>'Kaukolämmön kk.kulutus'!G13</f>
        <v>28000</v>
      </c>
      <c r="H13" s="29">
        <f>'Kaukolämmön kk.kulutus'!H13</f>
        <v>28</v>
      </c>
      <c r="I13" s="29">
        <f t="shared" si="2"/>
        <v>22</v>
      </c>
      <c r="J13" s="30">
        <f t="shared" si="3"/>
        <v>4.4642857142857144</v>
      </c>
    </row>
    <row r="14" spans="1:16" x14ac:dyDescent="0.25">
      <c r="A14" s="1" t="s">
        <v>10</v>
      </c>
      <c r="B14" s="27">
        <v>125</v>
      </c>
      <c r="C14" s="11">
        <v>30</v>
      </c>
      <c r="D14" s="11">
        <f t="shared" si="0"/>
        <v>720</v>
      </c>
      <c r="E14" s="28">
        <f t="shared" si="1"/>
        <v>173.61111111111111</v>
      </c>
      <c r="F14" s="29">
        <f>'Kaukolämmön kk.kulutus'!F14</f>
        <v>2</v>
      </c>
      <c r="G14" s="29">
        <f>'Kaukolämmön kk.kulutus'!G14</f>
        <v>30000</v>
      </c>
      <c r="H14" s="29">
        <f>'Kaukolämmön kk.kulutus'!H14</f>
        <v>28</v>
      </c>
      <c r="I14" s="29">
        <f t="shared" si="2"/>
        <v>26</v>
      </c>
      <c r="J14" s="30">
        <f t="shared" si="3"/>
        <v>4.166666666666667</v>
      </c>
    </row>
    <row r="15" spans="1:16" x14ac:dyDescent="0.25">
      <c r="A15" s="1" t="s">
        <v>11</v>
      </c>
      <c r="B15" s="27">
        <v>131</v>
      </c>
      <c r="C15" s="11">
        <v>31</v>
      </c>
      <c r="D15" s="11">
        <f t="shared" si="0"/>
        <v>744</v>
      </c>
      <c r="E15" s="28">
        <f t="shared" si="1"/>
        <v>176.07526881720432</v>
      </c>
      <c r="F15" s="29">
        <f>'Kaukolämmön kk.kulutus'!F15</f>
        <v>-2</v>
      </c>
      <c r="G15" s="29">
        <f>'Kaukolämmön kk.kulutus'!G15</f>
        <v>32000</v>
      </c>
      <c r="H15" s="29">
        <f>'Kaukolämmön kk.kulutus'!H15</f>
        <v>28</v>
      </c>
      <c r="I15" s="29">
        <f t="shared" si="2"/>
        <v>30</v>
      </c>
      <c r="J15" s="30">
        <f t="shared" si="3"/>
        <v>4.09375</v>
      </c>
    </row>
    <row r="16" spans="1:16" x14ac:dyDescent="0.25">
      <c r="A16" s="6" t="s">
        <v>19</v>
      </c>
      <c r="B16" s="15">
        <f>SUM(B4:B15)</f>
        <v>1361</v>
      </c>
      <c r="C16" s="2"/>
      <c r="D16" s="2"/>
      <c r="E16" s="4" t="s">
        <v>20</v>
      </c>
      <c r="F16" s="2"/>
      <c r="G16" s="16">
        <f>SUM(G4:G15)</f>
        <v>302000</v>
      </c>
      <c r="H16" s="4" t="s">
        <v>24</v>
      </c>
      <c r="I16" s="2"/>
      <c r="J16" s="9">
        <f>AVERAGE(J4:J15)</f>
        <v>4.7888049470484821</v>
      </c>
      <c r="K16" s="5" t="s">
        <v>26</v>
      </c>
    </row>
    <row r="17" spans="2:15" ht="15.75" x14ac:dyDescent="0.25">
      <c r="B17" s="3" t="s">
        <v>27</v>
      </c>
      <c r="M17" s="4" t="s">
        <v>42</v>
      </c>
      <c r="N17" s="2"/>
      <c r="O17" s="2"/>
    </row>
    <row r="18" spans="2:15" ht="30" x14ac:dyDescent="0.25">
      <c r="M18" s="34" t="s">
        <v>51</v>
      </c>
      <c r="N18" s="2">
        <f>B16</f>
        <v>1361</v>
      </c>
      <c r="O18" s="2" t="s">
        <v>50</v>
      </c>
    </row>
    <row r="19" spans="2:15" ht="30" x14ac:dyDescent="0.25">
      <c r="M19" s="34" t="s">
        <v>52</v>
      </c>
      <c r="N19" s="35">
        <f>J16</f>
        <v>4.7888049470484821</v>
      </c>
      <c r="O19" s="2" t="s">
        <v>57</v>
      </c>
    </row>
    <row r="20" spans="2:15" x14ac:dyDescent="0.25">
      <c r="M20" s="40" t="str">
        <f>IF(COUNT(B4:B15)=12," ","Kaikkien kuukausien tietoja ei ole syötetty.")</f>
        <v xml:space="preserve"> </v>
      </c>
      <c r="N20" s="37"/>
      <c r="O20" s="38"/>
    </row>
    <row r="21" spans="2:15" x14ac:dyDescent="0.25">
      <c r="M21" s="37"/>
      <c r="N21" s="39"/>
      <c r="O21" s="38"/>
    </row>
    <row r="22" spans="2:15" x14ac:dyDescent="0.25">
      <c r="M22" s="37"/>
      <c r="N22" s="39"/>
      <c r="O22" s="38"/>
    </row>
  </sheetData>
  <mergeCells count="8">
    <mergeCell ref="L11:M11"/>
    <mergeCell ref="O11:P11"/>
    <mergeCell ref="L4:M4"/>
    <mergeCell ref="O4:P4"/>
    <mergeCell ref="L7:M7"/>
    <mergeCell ref="O7:P7"/>
    <mergeCell ref="L10:M10"/>
    <mergeCell ref="O10:P10"/>
  </mergeCells>
  <pageMargins left="0.7" right="0.7" top="0.75" bottom="0.75" header="0.3" footer="0.3"/>
  <pageSetup orientation="portrait" horizontalDpi="300" verticalDpi="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20"/>
  <sheetViews>
    <sheetView zoomScaleNormal="100" workbookViewId="0">
      <selection activeCell="A3" sqref="A3"/>
    </sheetView>
  </sheetViews>
  <sheetFormatPr defaultRowHeight="15" x14ac:dyDescent="0.25"/>
  <cols>
    <col min="1" max="1" width="11.140625" customWidth="1"/>
    <col min="2" max="2" width="18" customWidth="1"/>
    <col min="3" max="4" width="15.140625" customWidth="1"/>
    <col min="5" max="5" width="14.28515625" customWidth="1"/>
    <col min="6" max="6" width="15.85546875" customWidth="1"/>
    <col min="7" max="7" width="14" customWidth="1"/>
    <col min="10" max="10" width="22.5703125" customWidth="1"/>
    <col min="12" max="12" width="10" customWidth="1"/>
    <col min="13" max="13" width="21.42578125" customWidth="1"/>
  </cols>
  <sheetData>
    <row r="1" spans="1:13" ht="21.75" customHeight="1" x14ac:dyDescent="0.35">
      <c r="A1" s="20" t="s">
        <v>37</v>
      </c>
    </row>
    <row r="2" spans="1:13" ht="29.25" customHeight="1" x14ac:dyDescent="0.3">
      <c r="A2" s="19" t="s">
        <v>32</v>
      </c>
    </row>
    <row r="3" spans="1:13" ht="63.75" customHeight="1" x14ac:dyDescent="0.35">
      <c r="A3" s="7">
        <v>2015</v>
      </c>
      <c r="B3" s="17" t="s">
        <v>25</v>
      </c>
      <c r="C3" s="17" t="s">
        <v>16</v>
      </c>
      <c r="D3" s="17" t="s">
        <v>23</v>
      </c>
      <c r="E3" s="17" t="s">
        <v>17</v>
      </c>
      <c r="F3" s="17" t="s">
        <v>18</v>
      </c>
      <c r="G3" s="17" t="s">
        <v>38</v>
      </c>
      <c r="I3" s="25" t="s">
        <v>28</v>
      </c>
      <c r="J3" s="25" t="s">
        <v>33</v>
      </c>
      <c r="L3" s="17" t="s">
        <v>28</v>
      </c>
      <c r="M3" s="26" t="s">
        <v>29</v>
      </c>
    </row>
    <row r="4" spans="1:13" x14ac:dyDescent="0.25">
      <c r="A4" s="1" t="s">
        <v>0</v>
      </c>
      <c r="B4" s="31">
        <v>3800</v>
      </c>
      <c r="C4" s="29">
        <f>'Kaukolämmön kk.kulutus'!F4</f>
        <v>-2</v>
      </c>
      <c r="D4" s="29">
        <f>'Kaukolämmön kk.kulutus'!G4</f>
        <v>33000</v>
      </c>
      <c r="E4" s="29">
        <f>'Kaukolämmön kk.kulutus'!H4</f>
        <v>28</v>
      </c>
      <c r="F4" s="29">
        <f t="shared" ref="F4:F15" si="0">IF(B4&gt;0,E4-C4,NA())</f>
        <v>30</v>
      </c>
      <c r="G4" s="30">
        <f>B4*1000/D4</f>
        <v>115.15151515151516</v>
      </c>
      <c r="I4" s="48" t="s">
        <v>34</v>
      </c>
      <c r="J4" s="48"/>
      <c r="L4" s="48" t="s">
        <v>34</v>
      </c>
      <c r="M4" s="48"/>
    </row>
    <row r="5" spans="1:13" x14ac:dyDescent="0.25">
      <c r="A5" s="1" t="s">
        <v>1</v>
      </c>
      <c r="B5" s="31">
        <v>3600</v>
      </c>
      <c r="C5" s="29">
        <f>'Kaukolämmön kk.kulutus'!F5</f>
        <v>0</v>
      </c>
      <c r="D5" s="29">
        <f>'Kaukolämmön kk.kulutus'!G5</f>
        <v>32000</v>
      </c>
      <c r="E5" s="29">
        <f>'Kaukolämmön kk.kulutus'!H5</f>
        <v>28</v>
      </c>
      <c r="F5" s="29">
        <f t="shared" si="0"/>
        <v>28</v>
      </c>
      <c r="G5" s="30">
        <f t="shared" ref="G5:G15" si="1">B5*1000/D5</f>
        <v>112.5</v>
      </c>
      <c r="I5" s="23">
        <f>MIN(F4:F15)-5</f>
        <v>4</v>
      </c>
      <c r="J5" s="24">
        <f>I5*J8+J9</f>
        <v>915.79839051249496</v>
      </c>
      <c r="L5" s="23">
        <f>MIN(D4:D15)-2000</f>
        <v>8000</v>
      </c>
      <c r="M5" s="23">
        <f>L5*M8+M9</f>
        <v>979.0246460409021</v>
      </c>
    </row>
    <row r="6" spans="1:13" x14ac:dyDescent="0.25">
      <c r="A6" s="1" t="s">
        <v>2</v>
      </c>
      <c r="B6" s="31">
        <v>3500</v>
      </c>
      <c r="C6" s="29">
        <f>'Kaukolämmön kk.kulutus'!F6</f>
        <v>1</v>
      </c>
      <c r="D6" s="29">
        <f>'Kaukolämmön kk.kulutus'!G6</f>
        <v>30000</v>
      </c>
      <c r="E6" s="29">
        <f>'Kaukolämmön kk.kulutus'!H6</f>
        <v>28</v>
      </c>
      <c r="F6" s="29">
        <f t="shared" si="0"/>
        <v>27</v>
      </c>
      <c r="G6" s="30">
        <f t="shared" si="1"/>
        <v>116.66666666666667</v>
      </c>
      <c r="I6" s="23">
        <f>MAX(F4:F15)+5</f>
        <v>35</v>
      </c>
      <c r="J6" s="24">
        <f>I6*J8+J9</f>
        <v>4047.3104616687847</v>
      </c>
      <c r="L6" s="23">
        <f>MAX(D4:D15)+2000</f>
        <v>35000</v>
      </c>
      <c r="M6" s="23">
        <f>L6*M8+M9</f>
        <v>3620.2674357629785</v>
      </c>
    </row>
    <row r="7" spans="1:13" x14ac:dyDescent="0.25">
      <c r="A7" s="1" t="s">
        <v>3</v>
      </c>
      <c r="B7" s="31">
        <v>2300</v>
      </c>
      <c r="C7" s="29">
        <f>'Kaukolämmön kk.kulutus'!F7</f>
        <v>5</v>
      </c>
      <c r="D7" s="29">
        <f>'Kaukolämmön kk.kulutus'!G7</f>
        <v>29000</v>
      </c>
      <c r="E7" s="29">
        <f>'Kaukolämmön kk.kulutus'!H7</f>
        <v>28</v>
      </c>
      <c r="F7" s="29">
        <f t="shared" si="0"/>
        <v>23</v>
      </c>
      <c r="G7" s="30">
        <f t="shared" si="1"/>
        <v>79.310344827586206</v>
      </c>
      <c r="I7" s="49" t="s">
        <v>35</v>
      </c>
      <c r="J7" s="50"/>
      <c r="L7" s="49" t="s">
        <v>35</v>
      </c>
      <c r="M7" s="50"/>
    </row>
    <row r="8" spans="1:13" x14ac:dyDescent="0.25">
      <c r="A8" s="1" t="s">
        <v>4</v>
      </c>
      <c r="B8" s="31">
        <v>2000</v>
      </c>
      <c r="C8" s="29">
        <f>'Kaukolämmön kk.kulutus'!F8</f>
        <v>10</v>
      </c>
      <c r="D8" s="29">
        <f>'Kaukolämmön kk.kulutus'!G8</f>
        <v>20000</v>
      </c>
      <c r="E8" s="29">
        <f>'Kaukolämmön kk.kulutus'!H8</f>
        <v>28</v>
      </c>
      <c r="F8" s="29">
        <f t="shared" si="0"/>
        <v>18</v>
      </c>
      <c r="G8" s="30">
        <f t="shared" si="1"/>
        <v>100</v>
      </c>
      <c r="I8" s="21" t="s">
        <v>30</v>
      </c>
      <c r="J8" s="22">
        <f>IFERROR(INDEX(LINEST(B4:B15,F4:F15,TRUE,FALSE),1),"k -arvoa ei voitu laskea")</f>
        <v>101.01651842439644</v>
      </c>
      <c r="L8" s="21" t="s">
        <v>30</v>
      </c>
      <c r="M8" s="33">
        <f>IFERROR(INDEX(LINEST(B4:B15,D4:D15,TRUE,FALSE),1),"k -arvoa ei voitu laskea")</f>
        <v>9.7823807026743564E-2</v>
      </c>
    </row>
    <row r="9" spans="1:13" x14ac:dyDescent="0.25">
      <c r="A9" s="1" t="s">
        <v>5</v>
      </c>
      <c r="B9" s="31">
        <v>1500</v>
      </c>
      <c r="C9" s="29">
        <f>'Kaukolämmön kk.kulutus'!F9</f>
        <v>13</v>
      </c>
      <c r="D9" s="29">
        <f>'Kaukolämmön kk.kulutus'!G9</f>
        <v>18000</v>
      </c>
      <c r="E9" s="29">
        <f>'Kaukolämmön kk.kulutus'!H9</f>
        <v>28</v>
      </c>
      <c r="F9" s="29">
        <f t="shared" si="0"/>
        <v>15</v>
      </c>
      <c r="G9" s="30">
        <f t="shared" si="1"/>
        <v>83.333333333333329</v>
      </c>
      <c r="I9" s="21" t="s">
        <v>31</v>
      </c>
      <c r="J9" s="22">
        <f>IFERROR(INDEX(LINEST(B4:B15,F4:F15,TRUE,FALSE),2),"b -arvoa ei voitu laskea")</f>
        <v>511.73231681490915</v>
      </c>
      <c r="L9" s="21" t="s">
        <v>31</v>
      </c>
      <c r="M9" s="22">
        <f>IFERROR(INDEX(LINEST(B4:B15,D4:D15,TRUE,FALSE),2),"b -arvoa ei voitu laskea")</f>
        <v>196.43418982695357</v>
      </c>
    </row>
    <row r="10" spans="1:13" x14ac:dyDescent="0.25">
      <c r="A10" s="1" t="s">
        <v>6</v>
      </c>
      <c r="B10" s="31">
        <v>1400</v>
      </c>
      <c r="C10" s="29">
        <f>'Kaukolämmön kk.kulutus'!F10</f>
        <v>19</v>
      </c>
      <c r="D10" s="29">
        <f>'Kaukolämmön kk.kulutus'!G10</f>
        <v>10000</v>
      </c>
      <c r="E10" s="29">
        <f>'Kaukolämmön kk.kulutus'!H10</f>
        <v>28</v>
      </c>
      <c r="F10" s="29">
        <f t="shared" si="0"/>
        <v>9</v>
      </c>
      <c r="G10" s="30">
        <f t="shared" si="1"/>
        <v>140</v>
      </c>
      <c r="I10" s="42" t="s">
        <v>36</v>
      </c>
      <c r="J10" s="43"/>
      <c r="L10" s="44" t="s">
        <v>36</v>
      </c>
      <c r="M10" s="45"/>
    </row>
    <row r="11" spans="1:13" x14ac:dyDescent="0.25">
      <c r="A11" s="1" t="s">
        <v>7</v>
      </c>
      <c r="B11" s="31">
        <v>2000</v>
      </c>
      <c r="C11" s="29">
        <f>'Kaukolämmön kk.kulutus'!F11</f>
        <v>17</v>
      </c>
      <c r="D11" s="29">
        <f>'Kaukolämmön kk.kulutus'!G11</f>
        <v>15000</v>
      </c>
      <c r="E11" s="29">
        <f>'Kaukolämmön kk.kulutus'!H11</f>
        <v>28</v>
      </c>
      <c r="F11" s="29">
        <f t="shared" si="0"/>
        <v>11</v>
      </c>
      <c r="G11" s="30">
        <f t="shared" si="1"/>
        <v>133.33333333333334</v>
      </c>
      <c r="I11" s="46" t="str">
        <f>IF(J8="k -arvoa ei voitu laskea","Suoran yhtälöä ei voitu laskea",IF(J9&lt;0,"Y="&amp;TEXT(J8,"0,00")&amp;"X"&amp;TEXT(J9,"0,00"),"Y="&amp;TEXT(J8,"0,00")&amp;"X+"&amp;TEXT(J9,"0,00")))</f>
        <v>Y=101,02X+511,73</v>
      </c>
      <c r="J11" s="47"/>
      <c r="L11" s="51" t="str">
        <f>IF(M8="k -arvoa ei voitu laskea","Suoran yhtälöä ei voitu laskea",IF(M9&lt;0,"Y="&amp;TEXT(M8,"0,000")&amp;"X"&amp;TEXT(M9,"0,00"),"Y="&amp;TEXT(M8,"0,000")&amp;"X+"&amp;TEXT(M9,"0,00")))</f>
        <v>Y=0,098X+196,43</v>
      </c>
      <c r="M11" s="52"/>
    </row>
    <row r="12" spans="1:13" x14ac:dyDescent="0.25">
      <c r="A12" s="1" t="s">
        <v>8</v>
      </c>
      <c r="B12" s="31">
        <v>2500</v>
      </c>
      <c r="C12" s="29">
        <f>'Kaukolämmön kk.kulutus'!F12</f>
        <v>12</v>
      </c>
      <c r="D12" s="29">
        <f>'Kaukolämmön kk.kulutus'!G12</f>
        <v>25000</v>
      </c>
      <c r="E12" s="29">
        <f>'Kaukolämmön kk.kulutus'!H12</f>
        <v>28</v>
      </c>
      <c r="F12" s="29">
        <f t="shared" si="0"/>
        <v>16</v>
      </c>
      <c r="G12" s="30">
        <f t="shared" si="1"/>
        <v>100</v>
      </c>
      <c r="K12" s="18"/>
    </row>
    <row r="13" spans="1:13" x14ac:dyDescent="0.25">
      <c r="A13" s="1" t="s">
        <v>9</v>
      </c>
      <c r="B13" s="31">
        <v>3100</v>
      </c>
      <c r="C13" s="29">
        <f>'Kaukolämmön kk.kulutus'!F13</f>
        <v>6</v>
      </c>
      <c r="D13" s="29">
        <f>'Kaukolämmön kk.kulutus'!G13</f>
        <v>28000</v>
      </c>
      <c r="E13" s="29">
        <f>'Kaukolämmön kk.kulutus'!H13</f>
        <v>28</v>
      </c>
      <c r="F13" s="29">
        <f t="shared" si="0"/>
        <v>22</v>
      </c>
      <c r="G13" s="30">
        <f t="shared" si="1"/>
        <v>110.71428571428571</v>
      </c>
    </row>
    <row r="14" spans="1:13" x14ac:dyDescent="0.25">
      <c r="A14" s="1" t="s">
        <v>10</v>
      </c>
      <c r="B14" s="31">
        <v>3000</v>
      </c>
      <c r="C14" s="29">
        <f>'Kaukolämmön kk.kulutus'!F14</f>
        <v>2</v>
      </c>
      <c r="D14" s="29">
        <f>'Kaukolämmön kk.kulutus'!G14</f>
        <v>30000</v>
      </c>
      <c r="E14" s="29">
        <f>'Kaukolämmön kk.kulutus'!H14</f>
        <v>28</v>
      </c>
      <c r="F14" s="29">
        <f t="shared" si="0"/>
        <v>26</v>
      </c>
      <c r="G14" s="30">
        <f t="shared" si="1"/>
        <v>100</v>
      </c>
    </row>
    <row r="15" spans="1:13" x14ac:dyDescent="0.25">
      <c r="A15" s="1" t="s">
        <v>11</v>
      </c>
      <c r="B15" s="31">
        <v>3200</v>
      </c>
      <c r="C15" s="29">
        <f>'Kaukolämmön kk.kulutus'!F15</f>
        <v>-2</v>
      </c>
      <c r="D15" s="29">
        <f>'Kaukolämmön kk.kulutus'!G15</f>
        <v>32000</v>
      </c>
      <c r="E15" s="29">
        <f>'Kaukolämmön kk.kulutus'!H15</f>
        <v>28</v>
      </c>
      <c r="F15" s="29">
        <f t="shared" si="0"/>
        <v>30</v>
      </c>
      <c r="G15" s="30">
        <f t="shared" si="1"/>
        <v>100</v>
      </c>
    </row>
    <row r="16" spans="1:13" x14ac:dyDescent="0.25">
      <c r="A16" s="6" t="s">
        <v>19</v>
      </c>
      <c r="B16" s="15">
        <f>SUM(B4:B15)</f>
        <v>31900</v>
      </c>
      <c r="C16" s="4" t="s">
        <v>39</v>
      </c>
      <c r="D16" s="16">
        <f>SUM(D4:D15)</f>
        <v>302000</v>
      </c>
      <c r="E16" s="4" t="s">
        <v>24</v>
      </c>
      <c r="F16" s="2"/>
      <c r="G16" s="9">
        <f>AVERAGE(G4:G15)</f>
        <v>107.58412325222672</v>
      </c>
      <c r="H16" s="5" t="s">
        <v>26</v>
      </c>
    </row>
    <row r="17" spans="2:14" ht="15.75" x14ac:dyDescent="0.25">
      <c r="B17" s="3" t="s">
        <v>27</v>
      </c>
      <c r="L17" s="4" t="s">
        <v>42</v>
      </c>
      <c r="M17" s="2"/>
      <c r="N17" s="2"/>
    </row>
    <row r="18" spans="2:14" ht="45" x14ac:dyDescent="0.25">
      <c r="L18" s="34" t="s">
        <v>53</v>
      </c>
      <c r="M18" s="2">
        <f>B16</f>
        <v>31900</v>
      </c>
      <c r="N18" s="2" t="s">
        <v>54</v>
      </c>
    </row>
    <row r="19" spans="2:14" ht="45" x14ac:dyDescent="0.25">
      <c r="L19" s="34" t="s">
        <v>55</v>
      </c>
      <c r="M19" s="35">
        <f>G16</f>
        <v>107.58412325222672</v>
      </c>
      <c r="N19" s="2" t="s">
        <v>44</v>
      </c>
    </row>
    <row r="20" spans="2:14" x14ac:dyDescent="0.25">
      <c r="L20" s="40" t="str">
        <f>IF(COUNT(B4:B15)=12," ","Kaikkien kuukausien tietoja ei ole syötetty.")</f>
        <v xml:space="preserve"> </v>
      </c>
    </row>
  </sheetData>
  <mergeCells count="8">
    <mergeCell ref="I11:J11"/>
    <mergeCell ref="L11:M11"/>
    <mergeCell ref="I4:J4"/>
    <mergeCell ref="L4:M4"/>
    <mergeCell ref="I7:J7"/>
    <mergeCell ref="L7:M7"/>
    <mergeCell ref="I10:J10"/>
    <mergeCell ref="L10:M10"/>
  </mergeCells>
  <pageMargins left="0.7" right="0.7" top="0.75" bottom="0.75" header="0.3" footer="0.3"/>
  <pageSetup orientation="portrait" horizontalDpi="300" verticalDpi="0" copies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232A219753FA47AC3A0FCC63DB6D84" ma:contentTypeVersion="8" ma:contentTypeDescription="Create a new document." ma:contentTypeScope="" ma:versionID="1a077c71d9859b596bc791d37655e393">
  <xsd:schema xmlns:xsd="http://www.w3.org/2001/XMLSchema" xmlns:xs="http://www.w3.org/2001/XMLSchema" xmlns:p="http://schemas.microsoft.com/office/2006/metadata/properties" xmlns:ns2="01cf5b0d-3cd6-4430-b4c5-7984c07b31c2" xmlns:ns3="1239ed13-db4f-4ff7-be46-d8de02270e90" targetNamespace="http://schemas.microsoft.com/office/2006/metadata/properties" ma:root="true" ma:fieldsID="11da3422e9e321a39a2da98f86a9a6c1" ns2:_="" ns3:_="">
    <xsd:import namespace="01cf5b0d-3cd6-4430-b4c5-7984c07b31c2"/>
    <xsd:import namespace="1239ed13-db4f-4ff7-be46-d8de02270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f5b0d-3cd6-4430-b4c5-7984c07b3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9ed13-db4f-4ff7-be46-d8de02270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6EC8F2-0017-4BD3-91B9-279FFB9CD5BE}"/>
</file>

<file path=customXml/itemProps2.xml><?xml version="1.0" encoding="utf-8"?>
<ds:datastoreItem xmlns:ds="http://schemas.openxmlformats.org/officeDocument/2006/customXml" ds:itemID="{1459BFC2-5BBA-4FA6-98A4-CE1E06134697}"/>
</file>

<file path=customXml/itemProps3.xml><?xml version="1.0" encoding="utf-8"?>
<ds:datastoreItem xmlns:ds="http://schemas.openxmlformats.org/officeDocument/2006/customXml" ds:itemID="{37126F5E-79A4-4528-B235-4FC00BC102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Kaukolämmön kk.kulutus</vt:lpstr>
      <vt:lpstr>Sähkön kk.kulutus</vt:lpstr>
      <vt:lpstr>Veden kk.kulutus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stoomla</dc:creator>
  <cp:lastModifiedBy>Toomla Sander</cp:lastModifiedBy>
  <dcterms:created xsi:type="dcterms:W3CDTF">2014-12-05T07:51:25Z</dcterms:created>
  <dcterms:modified xsi:type="dcterms:W3CDTF">2016-01-11T14:23:06Z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0x010100E9232A219753FA47AC3A0FCC63DB6D84</vt:lpwstr>
  </property>
</Properties>
</file>